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10.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11.xml" ContentType="application/vnd.openxmlformats-officedocument.drawing+xml"/>
  <Override PartName="/xl/worksheets/sheet39.xml" ContentType="application/vnd.openxmlformats-officedocument.spreadsheetml.worksheet+xml"/>
  <Override PartName="/xl/drawings/drawing12.xml" ContentType="application/vnd.openxmlformats-officedocument.drawing+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omments47.xml" ContentType="application/vnd.openxmlformats-officedocument.spreadsheetml.comments+xml"/>
  <Override PartName="/xl/drawings/drawing13.xml" ContentType="application/vnd.openxmlformats-officedocument.drawing+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worksheets/sheet66.xml" ContentType="application/vnd.openxmlformats-officedocument.spreadsheetml.worksheet+xml"/>
  <Override PartName="/xl/drawings/drawing14.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comments6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80" windowWidth="11970" windowHeight="3225" tabRatio="955" activeTab="2"/>
  </bookViews>
  <sheets>
    <sheet name="Általános" sheetId="1" r:id="rId1"/>
    <sheet name="GLOBAL" sheetId="2" state="hidden" r:id="rId2"/>
    <sheet name="Beszámoló Fedlap" sheetId="3" r:id="rId3"/>
    <sheet name="Mérleg&quot;A&quot;" sheetId="4" r:id="rId4"/>
    <sheet name="EredmÖsszktsg&quot;A&quot;" sheetId="5" r:id="rId5"/>
    <sheet name="EredmForgktsg&quot;A&quot;" sheetId="6" r:id="rId6"/>
    <sheet name="EgyszÉvesMérleg&quot;A&quot;" sheetId="7" r:id="rId7"/>
    <sheet name="EgyszÉvesEredmÖsszktsg&quot;A&quot;" sheetId="8" r:id="rId8"/>
    <sheet name="EgyszÉvesEredmForgktsg&quot;A&quot;" sheetId="9" r:id="rId9"/>
    <sheet name="KiegMell" sheetId="10" r:id="rId10"/>
    <sheet name="KTartalom" sheetId="11" r:id="rId11"/>
    <sheet name="I.A.1" sheetId="12" r:id="rId12"/>
    <sheet name="I.A.2" sheetId="13" r:id="rId13"/>
    <sheet name="I.B" sheetId="14" r:id="rId14"/>
    <sheet name="K.I.3.2" sheetId="15" state="hidden" r:id="rId15"/>
    <sheet name="I.C" sheetId="16" r:id="rId16"/>
    <sheet name="II.A" sheetId="17" r:id="rId17"/>
    <sheet name="II.B.1" sheetId="18" r:id="rId18"/>
    <sheet name="II.B.2" sheetId="19" r:id="rId19"/>
    <sheet name="II.B.3" sheetId="20" r:id="rId20"/>
    <sheet name="II.B.4" sheetId="21" r:id="rId21"/>
    <sheet name="II.B.5" sheetId="22" r:id="rId22"/>
    <sheet name="II.C" sheetId="23" r:id="rId23"/>
    <sheet name="II.D" sheetId="24" r:id="rId24"/>
    <sheet name="II.E.1" sheetId="25" r:id="rId25"/>
    <sheet name="II.E.2" sheetId="26" r:id="rId26"/>
    <sheet name="II.F" sheetId="27" r:id="rId27"/>
    <sheet name="III.A.I-II" sheetId="28" r:id="rId28"/>
    <sheet name="III.B.II" sheetId="29" r:id="rId29"/>
    <sheet name="III.B.III.1" sheetId="30" r:id="rId30"/>
    <sheet name="III.B.III.2" sheetId="31" r:id="rId31"/>
    <sheet name="III.C" sheetId="32" r:id="rId32"/>
    <sheet name="III.D.1" sheetId="33" r:id="rId33"/>
    <sheet name="III.D.2" sheetId="34" r:id="rId34"/>
    <sheet name="III.D.3" sheetId="35" r:id="rId35"/>
    <sheet name="III.F" sheetId="36" r:id="rId36"/>
    <sheet name="III.G" sheetId="37" r:id="rId37"/>
    <sheet name="III.H.I" sheetId="38" r:id="rId38"/>
    <sheet name="III.H.II" sheetId="39" r:id="rId39"/>
    <sheet name="III.H.III" sheetId="40" r:id="rId40"/>
    <sheet name="III.H.IV" sheetId="41" r:id="rId41"/>
    <sheet name="III.H.V" sheetId="42" r:id="rId42"/>
    <sheet name="III.H.VI" sheetId="43" r:id="rId43"/>
    <sheet name="KPARAM" sheetId="44" state="hidden" r:id="rId44"/>
    <sheet name="Leltár fedlap" sheetId="45" r:id="rId45"/>
    <sheet name="LTartalom " sheetId="46" r:id="rId46"/>
    <sheet name="L.A.I" sheetId="47" r:id="rId47"/>
    <sheet name="L.A.II" sheetId="48" r:id="rId48"/>
    <sheet name="L.A.III" sheetId="49" r:id="rId49"/>
    <sheet name="L.B.I" sheetId="50" r:id="rId50"/>
    <sheet name="L.B.II" sheetId="51" r:id="rId51"/>
    <sheet name="L.B.III" sheetId="52" r:id="rId52"/>
    <sheet name="L.B.IV" sheetId="53" r:id="rId53"/>
    <sheet name="L.C" sheetId="54" r:id="rId54"/>
    <sheet name="L.D" sheetId="55" r:id="rId55"/>
    <sheet name="L.E" sheetId="56" r:id="rId56"/>
    <sheet name="L.F.I" sheetId="57" r:id="rId57"/>
    <sheet name="L.F.II" sheetId="58" r:id="rId58"/>
    <sheet name="L.F.III" sheetId="59" r:id="rId59"/>
    <sheet name="L.G" sheetId="60" r:id="rId60"/>
    <sheet name="L.H.I-VIIA" sheetId="61" r:id="rId61"/>
    <sheet name="L.H.I-VIIB" sheetId="62" r:id="rId62"/>
    <sheet name="L.H.VIII-IX" sheetId="63" r:id="rId63"/>
    <sheet name="L.H.X-XI" sheetId="64" r:id="rId64"/>
    <sheet name="HELP" sheetId="65" r:id="rId65"/>
    <sheet name="HELP-01" sheetId="66" r:id="rId66"/>
    <sheet name="HELP-Ü" sheetId="67" r:id="rId67"/>
    <sheet name="LPARAM" sheetId="68" state="hidden" r:id="rId68"/>
  </sheets>
  <externalReferences>
    <externalReference r:id="rId71"/>
  </externalReferences>
  <definedNames>
    <definedName name="_xlnm._FilterDatabase" localSheetId="10" hidden="1">'KTartalom'!$D$5:$D$53</definedName>
    <definedName name="_xlnm._FilterDatabase" localSheetId="45" hidden="1">'LTartalom '!$C$5:$C$24</definedName>
    <definedName name="a" localSheetId="66" hidden="1">{#N/A,#N/A,TRUE,"A1";#N/A,#N/A,TRUE,"A2";#N/A,#N/A,TRUE,"B1"}</definedName>
    <definedName name="a" localSheetId="12" hidden="1">{#N/A,#N/A,TRUE,"A1";#N/A,#N/A,TRUE,"A2";#N/A,#N/A,TRUE,"B1"}</definedName>
    <definedName name="a" localSheetId="18" hidden="1">{#N/A,#N/A,TRUE,"A1";#N/A,#N/A,TRUE,"A2";#N/A,#N/A,TRUE,"B1"}</definedName>
    <definedName name="a" localSheetId="19" hidden="1">{#N/A,#N/A,TRUE,"A1";#N/A,#N/A,TRUE,"A2";#N/A,#N/A,TRUE,"B1"}</definedName>
    <definedName name="a" localSheetId="20" hidden="1">{#N/A,#N/A,TRUE,"A1";#N/A,#N/A,TRUE,"A2";#N/A,#N/A,TRUE,"B1"}</definedName>
    <definedName name="a" localSheetId="22" hidden="1">{#N/A,#N/A,TRUE,"A1";#N/A,#N/A,TRUE,"A2";#N/A,#N/A,TRUE,"B1"}</definedName>
    <definedName name="a" localSheetId="24" hidden="1">{#N/A,#N/A,TRUE,"A1";#N/A,#N/A,TRUE,"A2";#N/A,#N/A,TRUE,"B1"}</definedName>
    <definedName name="a" localSheetId="25" hidden="1">{#N/A,#N/A,TRUE,"A1";#N/A,#N/A,TRUE,"A2";#N/A,#N/A,TRUE,"B1"}</definedName>
    <definedName name="a" localSheetId="28" hidden="1">{#N/A,#N/A,TRUE,"A1";#N/A,#N/A,TRUE,"A2";#N/A,#N/A,TRUE,"B1"}</definedName>
    <definedName name="a" localSheetId="30" hidden="1">{#N/A,#N/A,TRUE,"A1";#N/A,#N/A,TRUE,"A2";#N/A,#N/A,TRUE,"B1"}</definedName>
    <definedName name="a" localSheetId="32" hidden="1">{#N/A,#N/A,TRUE,"A1";#N/A,#N/A,TRUE,"A2";#N/A,#N/A,TRUE,"B1"}</definedName>
    <definedName name="a" localSheetId="33" hidden="1">{#N/A,#N/A,TRUE,"A1";#N/A,#N/A,TRUE,"A2";#N/A,#N/A,TRUE,"B1"}</definedName>
    <definedName name="a" localSheetId="34" hidden="1">{#N/A,#N/A,TRUE,"A1";#N/A,#N/A,TRUE,"A2";#N/A,#N/A,TRUE,"B1"}</definedName>
    <definedName name="a" localSheetId="35" hidden="1">{#N/A,#N/A,TRUE,"A1";#N/A,#N/A,TRUE,"A2";#N/A,#N/A,TRUE,"B1"}</definedName>
    <definedName name="a" localSheetId="38" hidden="1">{#N/A,#N/A,TRUE,"A1";#N/A,#N/A,TRUE,"A2";#N/A,#N/A,TRUE,"B1"}</definedName>
    <definedName name="a" localSheetId="39" hidden="1">{#N/A,#N/A,TRUE,"A1";#N/A,#N/A,TRUE,"A2";#N/A,#N/A,TRUE,"B1"}</definedName>
    <definedName name="a" localSheetId="41" hidden="1">{#N/A,#N/A,TRUE,"A1";#N/A,#N/A,TRUE,"A2";#N/A,#N/A,TRUE,"B1"}</definedName>
    <definedName name="a" localSheetId="42" hidden="1">{#N/A,#N/A,TRUE,"A1";#N/A,#N/A,TRUE,"A2";#N/A,#N/A,TRUE,"B1"}</definedName>
    <definedName name="a" localSheetId="43" hidden="1">{#N/A,#N/A,TRUE,"A1";#N/A,#N/A,TRUE,"A2";#N/A,#N/A,TRUE,"B1"}</definedName>
    <definedName name="a" localSheetId="46" hidden="1">{#N/A,#N/A,TRUE,"A1";#N/A,#N/A,TRUE,"A2";#N/A,#N/A,TRUE,"B1"}</definedName>
    <definedName name="a" localSheetId="47" hidden="1">{#N/A,#N/A,TRUE,"A1";#N/A,#N/A,TRUE,"A2";#N/A,#N/A,TRUE,"B1"}</definedName>
    <definedName name="a" localSheetId="48" hidden="1">{#N/A,#N/A,TRUE,"A1";#N/A,#N/A,TRUE,"A2";#N/A,#N/A,TRUE,"B1"}</definedName>
    <definedName name="a" localSheetId="51" hidden="1">{#N/A,#N/A,TRUE,"A1";#N/A,#N/A,TRUE,"A2";#N/A,#N/A,TRUE,"B1"}</definedName>
    <definedName name="a" localSheetId="52" hidden="1">{#N/A,#N/A,TRUE,"A1";#N/A,#N/A,TRUE,"A2";#N/A,#N/A,TRUE,"B1"}</definedName>
    <definedName name="a" localSheetId="53" hidden="1">{#N/A,#N/A,TRUE,"A1";#N/A,#N/A,TRUE,"A2";#N/A,#N/A,TRUE,"B1"}</definedName>
    <definedName name="a" localSheetId="54" hidden="1">{#N/A,#N/A,TRUE,"A1";#N/A,#N/A,TRUE,"A2";#N/A,#N/A,TRUE,"B1"}</definedName>
    <definedName name="a" localSheetId="55" hidden="1">{#N/A,#N/A,TRUE,"A1";#N/A,#N/A,TRUE,"A2";#N/A,#N/A,TRUE,"B1"}</definedName>
    <definedName name="a" localSheetId="56" hidden="1">{#N/A,#N/A,TRUE,"A1";#N/A,#N/A,TRUE,"A2";#N/A,#N/A,TRUE,"B1"}</definedName>
    <definedName name="a" localSheetId="57" hidden="1">{#N/A,#N/A,TRUE,"A1";#N/A,#N/A,TRUE,"A2";#N/A,#N/A,TRUE,"B1"}</definedName>
    <definedName name="a" localSheetId="58" hidden="1">{#N/A,#N/A,TRUE,"A1";#N/A,#N/A,TRUE,"A2";#N/A,#N/A,TRUE,"B1"}</definedName>
    <definedName name="a" localSheetId="59" hidden="1">{#N/A,#N/A,TRUE,"A1";#N/A,#N/A,TRUE,"A2";#N/A,#N/A,TRUE,"B1"}</definedName>
    <definedName name="a" localSheetId="60" hidden="1">{#N/A,#N/A,TRUE,"A1";#N/A,#N/A,TRUE,"A2";#N/A,#N/A,TRUE,"B1"}</definedName>
    <definedName name="a" localSheetId="61" hidden="1">{#N/A,#N/A,TRUE,"A1";#N/A,#N/A,TRUE,"A2";#N/A,#N/A,TRUE,"B1"}</definedName>
    <definedName name="a" localSheetId="62" hidden="1">{#N/A,#N/A,TRUE,"A1";#N/A,#N/A,TRUE,"A2";#N/A,#N/A,TRUE,"B1"}</definedName>
    <definedName name="a" localSheetId="63" hidden="1">{#N/A,#N/A,TRUE,"A1";#N/A,#N/A,TRUE,"A2";#N/A,#N/A,TRUE,"B1"}</definedName>
    <definedName name="a" localSheetId="44" hidden="1">{#N/A,#N/A,TRUE,"A1";#N/A,#N/A,TRUE,"A2";#N/A,#N/A,TRUE,"B1"}</definedName>
    <definedName name="a" localSheetId="67" hidden="1">{#N/A,#N/A,TRUE,"A1";#N/A,#N/A,TRUE,"A2";#N/A,#N/A,TRUE,"B1"}</definedName>
    <definedName name="a" localSheetId="45" hidden="1">{#N/A,#N/A,TRUE,"A1";#N/A,#N/A,TRUE,"A2";#N/A,#N/A,TRUE,"B1"}</definedName>
    <definedName name="a" hidden="1">{#N/A,#N/A,TRUE,"A1";#N/A,#N/A,TRUE,"A2";#N/A,#N/A,TRUE,"B1"}</definedName>
    <definedName name="Általános">'[1]Általános.adatok'!$C$8,'[1]Általános.adatok'!$C$15,'[1]Általános.adatok'!$C$18:$C$19,'[1]Általános.adatok'!$C$24:$C$30,'[1]Általános.adatok'!$C$48:$D$62,'[1]Általános.adatok'!$F$48:$F$62,'[1]Általános.adatok'!$B$68:$F$82,'[1]Általános.adatok'!$C$91:$C$92,'[1]Általános.adatok'!$C$96:$C$99,'[1]Általános.adatok'!$C$103:$C$104,'[1]Általános.adatok'!$C$117:$C$120,'[1]Általános.adatok'!$D$118:$E$119,'[1]Általános.adatok'!$C$122:$C$125,'[1]Általános.adatok'!$D$123:$E$124,'[1]Általános.adatok'!$C$127:$C$132,'[1]Általános.adatok'!$C$136:$C$141,'[1]Általános.adatok'!$C$143:$C$146,'[1]Általános.adatok'!$D$144:$E$145,'[1]Általános.adatok'!$C$148:$C$149,'[1]Általános.adatok'!$C$152:$C$165,'[1]Általános.adatok'!$C$168:$E$169</definedName>
    <definedName name="Általános_adatok">'[1]Általános.adatok'!$C$8,'[1]Általános.adatok'!$C$15,'[1]Általános.adatok'!$C$18:$C$19,'[1]Általános.adatok'!$C$24:$C$30,'[1]Általános.adatok'!$C$48:$D$62,'[1]Általános.adatok'!$F$48:$F$62,'[1]Általános.adatok'!$B$68:$F$82,'[1]Általános.adatok'!$C$91:$C$92,'[1]Általános.adatok'!$C$96:$C$99,'[1]Általános.adatok'!$C$103:$C$104,'[1]Általános.adatok'!$C$117:$C$120,'[1]Általános.adatok'!$D$118:$E$119,'[1]Általános.adatok'!$C$122:$C$125,'[1]Általános.adatok'!$D$123:$E$124,'[1]Általános.adatok'!$C$127:$C$132,'[1]Általános.adatok'!$C$136:$C$141,'[1]Általános.adatok'!$C$143:$C$146,'[1]Általános.adatok'!$D$144:$E$145,'[1]Általános.adatok'!$C$148:$C$149,'[1]Általános.adatok'!$C$152:$C$165,'[1]Általános.adatok'!$C$168:$E$169</definedName>
    <definedName name="B_II_1adat">'[1]B.II.1'!$B$9:$E$58,'[1]B.II.1'!$G$9:$H$58</definedName>
    <definedName name="B_II_2adat">'[1]B.II.2'!$B$9:$E$58,'[1]B.II.2'!$G$9:$H$58</definedName>
    <definedName name="B_II_3adat">'[1]B.II.3'!$B$9:$E$58,'[1]B.II.3'!$G$9:$H$58</definedName>
    <definedName name="B_II_4adat">'[1]B.II.4'!$B$9:$E$38,'[1]B.II.4'!$G$9:$H$38</definedName>
    <definedName name="Bef_eszkadat">'[1]Bef.eszk'!$C$7:$F$12,'[1]Bef.eszk'!$C$13:$E$13,'[1]Bef.eszk'!$C$15:$F$20,'[1]Bef.eszk'!$C$21:$E$21,'[1]Bef.eszk'!$C$23:$F$28,'[1]Bef.eszk'!$C$29:$E$29,'[1]Bef.eszk'!$H$7:$K$12,'[1]Bef.eszk'!$H$15:$K$20,'[1]Bef.eszk'!$H$23:$K$28,'[1]Bef.eszk'!$O$7:$O$12,'[1]Bef.eszk'!$O$15:$O$20,'[1]Bef.eszk'!$O$23:$O$28</definedName>
    <definedName name="D_Tadat">#REF!,#REF!,#REF!,#REF!,#REF!,#REF!,#REF!,#REF!,#REF!,#REF!,#REF!,#REF!,#REF!,#REF!,#REF!</definedName>
    <definedName name="D_Vadat">'[1]D.V'!$F$9:$H$13,'[1]D.V'!$F$15:$H$25,'[1]D.V'!$F$27:$H$27</definedName>
    <definedName name="D_VIadat">'[1]D.VI'!$B$10:$F$19,'[1]D.VI'!$B$21:$F$30,'[1]D.VI'!$B$32:$F$41</definedName>
    <definedName name="mvs">"+0;-0"</definedName>
    <definedName name="_xlnm.Print_Titles" localSheetId="12">'I.A.2'!$1:$6</definedName>
    <definedName name="_xlnm.Print_Titles" localSheetId="13">'I.B'!$1:$6</definedName>
    <definedName name="_xlnm.Print_Titles" localSheetId="15">'I.C'!$1:$6</definedName>
    <definedName name="_xlnm.Print_Titles" localSheetId="16">'II.A'!$1:$4</definedName>
    <definedName name="_xlnm.Print_Titles" localSheetId="17">'II.B.1'!$1:$6</definedName>
    <definedName name="_xlnm.Print_Titles" localSheetId="18">'II.B.2'!$1:$4</definedName>
    <definedName name="_xlnm.Print_Titles" localSheetId="20">'II.B.4'!$1:$4</definedName>
    <definedName name="_xlnm.Print_Titles" localSheetId="22">'II.C'!$1:$7</definedName>
    <definedName name="_xlnm.Print_Titles" localSheetId="28">'III.B.II'!$1:$8</definedName>
    <definedName name="_xlnm.Print_Titles" localSheetId="35">'III.F'!$1:$9</definedName>
    <definedName name="_xlnm.Print_Titles" localSheetId="36">'III.G'!$1:$9</definedName>
    <definedName name="_xlnm.Print_Titles" localSheetId="38">'III.H.II'!$1:$7</definedName>
    <definedName name="_xlnm.Print_Titles" localSheetId="10">'KTartalom'!$1:$4</definedName>
    <definedName name="_xlnm.Print_Titles" localSheetId="46">'L.A.I'!$1:$6</definedName>
    <definedName name="_xlnm.Print_Titles" localSheetId="47">'L.A.II'!$1:$6</definedName>
    <definedName name="_xlnm.Print_Titles" localSheetId="48">'L.A.III'!$1:$6</definedName>
    <definedName name="_xlnm.Print_Titles" localSheetId="49">'L.B.I'!$1:$6</definedName>
    <definedName name="_xlnm.Print_Titles" localSheetId="50">'L.B.II'!$1:$6</definedName>
    <definedName name="_xlnm.Print_Titles" localSheetId="51">'L.B.III'!$1:$6</definedName>
    <definedName name="_xlnm.Print_Titles" localSheetId="52">'L.B.IV'!$1:$7</definedName>
    <definedName name="_xlnm.Print_Titles" localSheetId="53">'L.C'!$1:$6</definedName>
    <definedName name="_xlnm.Print_Titles" localSheetId="54">'L.D'!$1:$4</definedName>
    <definedName name="_xlnm.Print_Titles" localSheetId="55">'L.E'!$1:$6</definedName>
    <definedName name="_xlnm.Print_Titles" localSheetId="56">'L.F.I'!$1:$6</definedName>
    <definedName name="_xlnm.Print_Titles" localSheetId="57">'L.F.II'!$1:$6</definedName>
    <definedName name="_xlnm.Print_Titles" localSheetId="58">'L.F.III'!$1:$6</definedName>
    <definedName name="_xlnm.Print_Titles" localSheetId="59">'L.G'!$1:$6</definedName>
    <definedName name="_xlnm.Print_Titles" localSheetId="60">'L.H.I-VIIA'!$1:$6</definedName>
    <definedName name="_xlnm.Print_Titles" localSheetId="61">'L.H.I-VIIB'!$1:$6</definedName>
    <definedName name="_xlnm.Print_Titles" localSheetId="62">'L.H.VIII-IX'!$1:$6</definedName>
    <definedName name="_xlnm.Print_Titles" localSheetId="63">'L.H.X-XI'!$1:$6</definedName>
    <definedName name="_xlnm.Print_Titles" localSheetId="45">'LTartalom '!$1:$4</definedName>
    <definedName name="_xlnm.Print_Area" localSheetId="0">'Általános'!$A$1:$B$33</definedName>
    <definedName name="_xlnm.Print_Area" localSheetId="2">'Beszámoló Fedlap'!$A$1:$U$49</definedName>
    <definedName name="_xlnm.Print_Area" localSheetId="8">'EgyszÉvesEredmForgktsg"A"'!$A$1:$F$42</definedName>
    <definedName name="_xlnm.Print_Area" localSheetId="7">'EgyszÉvesEredmÖsszktsg"A"'!$A$1:$F$40</definedName>
    <definedName name="_xlnm.Print_Area" localSheetId="6">'EgyszÉvesMérleg"A"'!$A$1:$E$77</definedName>
    <definedName name="_xlnm.Print_Area" localSheetId="5">'EredmForgktsg"A"'!$A$1:$F$90</definedName>
    <definedName name="_xlnm.Print_Area" localSheetId="4">'EredmÖsszktsg"A"'!$A$1:$F$87</definedName>
    <definedName name="_xlnm.Print_Area" localSheetId="11">'I.A.1'!$A$1:$R$32</definedName>
    <definedName name="_xlnm.Print_Area" localSheetId="12">'I.A.2'!$A$1:$R$42</definedName>
    <definedName name="_xlnm.Print_Area" localSheetId="13">'I.B'!$A$1:$H$128</definedName>
    <definedName name="_xlnm.Print_Area" localSheetId="16">'II.A'!$A$1:$H$38</definedName>
    <definedName name="_xlnm.Print_Area" localSheetId="21">'II.B.5'!$A$1:$G$32</definedName>
    <definedName name="_xlnm.Print_Area" localSheetId="22">'II.C'!$A$1:$I$55</definedName>
    <definedName name="_xlnm.Print_Area" localSheetId="23">'II.D'!$A$1:$E$42</definedName>
    <definedName name="_xlnm.Print_Area" localSheetId="24">'II.E.1'!$A$1:$N$19</definedName>
    <definedName name="_xlnm.Print_Area" localSheetId="25">'II.E.2'!$A$1:$I$25</definedName>
    <definedName name="_xlnm.Print_Area" localSheetId="26">'II.F'!$A$1:$H$39</definedName>
    <definedName name="_xlnm.Print_Area" localSheetId="27">'III.A.I-II'!$A$1:$R$27</definedName>
    <definedName name="_xlnm.Print_Area" localSheetId="28">'III.B.II'!$A$1:$D$35</definedName>
    <definedName name="_xlnm.Print_Area" localSheetId="31">'III.C'!$A$1:$D$26</definedName>
    <definedName name="_xlnm.Print_Area" localSheetId="32">'III.D.1'!$A$1:$E$33</definedName>
    <definedName name="_xlnm.Print_Area" localSheetId="35">'III.F'!$A$1:$D$112</definedName>
    <definedName name="_xlnm.Print_Area" localSheetId="36">'III.G'!$A$1:$D$26</definedName>
    <definedName name="_xlnm.Print_Area" localSheetId="37">'III.H.I'!$A$1:$D$43</definedName>
    <definedName name="_xlnm.Print_Area" localSheetId="38">'III.H.II'!$A$1:$D$54</definedName>
    <definedName name="_xlnm.Print_Area" localSheetId="39">'III.H.III'!$A$1:$G$28</definedName>
    <definedName name="_xlnm.Print_Area" localSheetId="40">'III.H.IV'!$A$1:$G$37</definedName>
    <definedName name="_xlnm.Print_Area" localSheetId="41">'III.H.V'!$A$1:$D$33</definedName>
    <definedName name="_xlnm.Print_Area" localSheetId="42">'III.H.VI'!$A$1:$F$19</definedName>
    <definedName name="_xlnm.Print_Area" localSheetId="9">'KiegMell'!$A$1:$U$48</definedName>
    <definedName name="_xlnm.Print_Area" localSheetId="10">'KTartalom'!$A$1:$C$53</definedName>
    <definedName name="_xlnm.Print_Area" localSheetId="46">'L.A.I'!$A$1:$S$43</definedName>
    <definedName name="_xlnm.Print_Area" localSheetId="47">'L.A.II'!$A$1:$S$43</definedName>
    <definedName name="_xlnm.Print_Area" localSheetId="48">'L.A.III'!$A$1:$O$48</definedName>
    <definedName name="_xlnm.Print_Area" localSheetId="49">'L.B.I'!$A$1:$L$38</definedName>
    <definedName name="_xlnm.Print_Area" localSheetId="50">'L.B.II'!$A$1:$L$40</definedName>
    <definedName name="_xlnm.Print_Area" localSheetId="51">'L.B.III'!$A$1:$M$35</definedName>
    <definedName name="_xlnm.Print_Area" localSheetId="52">'L.B.IV'!$A$1:$J$26</definedName>
    <definedName name="_xlnm.Print_Area" localSheetId="53">'L.C'!$A$1:$K$28</definedName>
    <definedName name="_xlnm.Print_Area" localSheetId="54">'L.D'!$A$1:$I$78</definedName>
    <definedName name="_xlnm.Print_Area" localSheetId="55">'L.E'!$A$1:$D$28</definedName>
    <definedName name="_xlnm.Print_Area" localSheetId="56">'L.F.I'!$A$1:$D$28</definedName>
    <definedName name="_xlnm.Print_Area" localSheetId="57">'L.F.II'!$A$1:$D$48</definedName>
    <definedName name="_xlnm.Print_Area" localSheetId="58">'L.F.III'!$A$1:$D$48</definedName>
    <definedName name="_xlnm.Print_Area" localSheetId="59">'L.G'!$A$1:$D$28</definedName>
    <definedName name="_xlnm.Print_Area" localSheetId="60">'L.H.I-VIIA'!$A$1:$D$86</definedName>
    <definedName name="_xlnm.Print_Area" localSheetId="61">'L.H.I-VIIB'!$A$1:$D$60</definedName>
    <definedName name="_xlnm.Print_Area" localSheetId="62">'L.H.VIII-IX'!$A$1:$D$55</definedName>
    <definedName name="_xlnm.Print_Area" localSheetId="63">'L.H.X-XI'!$A$1:$D$23</definedName>
    <definedName name="_xlnm.Print_Area" localSheetId="44">'Leltár fedlap'!$A$1:$U$48</definedName>
    <definedName name="_xlnm.Print_Area" localSheetId="45">'LTartalom '!$A$1:$C$24</definedName>
    <definedName name="_xlnm.Print_Area" localSheetId="3">'Mérleg"A"'!$A$1:$E$173</definedName>
    <definedName name="wrn.Proba." localSheetId="66" hidden="1">{#N/A,#N/A,TRUE,"A1";#N/A,#N/A,TRUE,"A2";#N/A,#N/A,TRUE,"B1"}</definedName>
    <definedName name="wrn.Proba." localSheetId="12" hidden="1">{#N/A,#N/A,TRUE,"A1";#N/A,#N/A,TRUE,"A2";#N/A,#N/A,TRUE,"B1"}</definedName>
    <definedName name="wrn.Proba." localSheetId="18" hidden="1">{#N/A,#N/A,TRUE,"A1";#N/A,#N/A,TRUE,"A2";#N/A,#N/A,TRUE,"B1"}</definedName>
    <definedName name="wrn.Proba." localSheetId="19" hidden="1">{#N/A,#N/A,TRUE,"A1";#N/A,#N/A,TRUE,"A2";#N/A,#N/A,TRUE,"B1"}</definedName>
    <definedName name="wrn.Proba." localSheetId="20" hidden="1">{#N/A,#N/A,TRUE,"A1";#N/A,#N/A,TRUE,"A2";#N/A,#N/A,TRUE,"B1"}</definedName>
    <definedName name="wrn.Proba." localSheetId="22" hidden="1">{#N/A,#N/A,TRUE,"A1";#N/A,#N/A,TRUE,"A2";#N/A,#N/A,TRUE,"B1"}</definedName>
    <definedName name="wrn.Proba." localSheetId="24" hidden="1">{#N/A,#N/A,TRUE,"A1";#N/A,#N/A,TRUE,"A2";#N/A,#N/A,TRUE,"B1"}</definedName>
    <definedName name="wrn.Proba." localSheetId="25" hidden="1">{#N/A,#N/A,TRUE,"A1";#N/A,#N/A,TRUE,"A2";#N/A,#N/A,TRUE,"B1"}</definedName>
    <definedName name="wrn.Proba." localSheetId="28" hidden="1">{#N/A,#N/A,TRUE,"A1";#N/A,#N/A,TRUE,"A2";#N/A,#N/A,TRUE,"B1"}</definedName>
    <definedName name="wrn.Proba." localSheetId="30" hidden="1">{#N/A,#N/A,TRUE,"A1";#N/A,#N/A,TRUE,"A2";#N/A,#N/A,TRUE,"B1"}</definedName>
    <definedName name="wrn.Proba." localSheetId="32" hidden="1">{#N/A,#N/A,TRUE,"A1";#N/A,#N/A,TRUE,"A2";#N/A,#N/A,TRUE,"B1"}</definedName>
    <definedName name="wrn.Proba." localSheetId="33" hidden="1">{#N/A,#N/A,TRUE,"A1";#N/A,#N/A,TRUE,"A2";#N/A,#N/A,TRUE,"B1"}</definedName>
    <definedName name="wrn.Proba." localSheetId="34" hidden="1">{#N/A,#N/A,TRUE,"A1";#N/A,#N/A,TRUE,"A2";#N/A,#N/A,TRUE,"B1"}</definedName>
    <definedName name="wrn.Proba." localSheetId="35" hidden="1">{#N/A,#N/A,TRUE,"A1";#N/A,#N/A,TRUE,"A2";#N/A,#N/A,TRUE,"B1"}</definedName>
    <definedName name="wrn.Proba." localSheetId="38" hidden="1">{#N/A,#N/A,TRUE,"A1";#N/A,#N/A,TRUE,"A2";#N/A,#N/A,TRUE,"B1"}</definedName>
    <definedName name="wrn.Proba." localSheetId="39" hidden="1">{#N/A,#N/A,TRUE,"A1";#N/A,#N/A,TRUE,"A2";#N/A,#N/A,TRUE,"B1"}</definedName>
    <definedName name="wrn.Proba." localSheetId="41" hidden="1">{#N/A,#N/A,TRUE,"A1";#N/A,#N/A,TRUE,"A2";#N/A,#N/A,TRUE,"B1"}</definedName>
    <definedName name="wrn.Proba." localSheetId="42" hidden="1">{#N/A,#N/A,TRUE,"A1";#N/A,#N/A,TRUE,"A2";#N/A,#N/A,TRUE,"B1"}</definedName>
    <definedName name="wrn.Proba." localSheetId="43" hidden="1">{#N/A,#N/A,TRUE,"A1";#N/A,#N/A,TRUE,"A2";#N/A,#N/A,TRUE,"B1"}</definedName>
    <definedName name="wrn.Proba." localSheetId="46" hidden="1">{#N/A,#N/A,TRUE,"A1";#N/A,#N/A,TRUE,"A2";#N/A,#N/A,TRUE,"B1"}</definedName>
    <definedName name="wrn.Proba." localSheetId="47" hidden="1">{#N/A,#N/A,TRUE,"A1";#N/A,#N/A,TRUE,"A2";#N/A,#N/A,TRUE,"B1"}</definedName>
    <definedName name="wrn.Proba." localSheetId="48" hidden="1">{#N/A,#N/A,TRUE,"A1";#N/A,#N/A,TRUE,"A2";#N/A,#N/A,TRUE,"B1"}</definedName>
    <definedName name="wrn.Proba." localSheetId="51" hidden="1">{#N/A,#N/A,TRUE,"A1";#N/A,#N/A,TRUE,"A2";#N/A,#N/A,TRUE,"B1"}</definedName>
    <definedName name="wrn.Proba." localSheetId="52" hidden="1">{#N/A,#N/A,TRUE,"A1";#N/A,#N/A,TRUE,"A2";#N/A,#N/A,TRUE,"B1"}</definedName>
    <definedName name="wrn.Proba." localSheetId="53" hidden="1">{#N/A,#N/A,TRUE,"A1";#N/A,#N/A,TRUE,"A2";#N/A,#N/A,TRUE,"B1"}</definedName>
    <definedName name="wrn.Proba." localSheetId="54" hidden="1">{#N/A,#N/A,TRUE,"A1";#N/A,#N/A,TRUE,"A2";#N/A,#N/A,TRUE,"B1"}</definedName>
    <definedName name="wrn.Proba." localSheetId="55" hidden="1">{#N/A,#N/A,TRUE,"A1";#N/A,#N/A,TRUE,"A2";#N/A,#N/A,TRUE,"B1"}</definedName>
    <definedName name="wrn.Proba." localSheetId="56" hidden="1">{#N/A,#N/A,TRUE,"A1";#N/A,#N/A,TRUE,"A2";#N/A,#N/A,TRUE,"B1"}</definedName>
    <definedName name="wrn.Proba." localSheetId="57" hidden="1">{#N/A,#N/A,TRUE,"A1";#N/A,#N/A,TRUE,"A2";#N/A,#N/A,TRUE,"B1"}</definedName>
    <definedName name="wrn.Proba." localSheetId="58" hidden="1">{#N/A,#N/A,TRUE,"A1";#N/A,#N/A,TRUE,"A2";#N/A,#N/A,TRUE,"B1"}</definedName>
    <definedName name="wrn.Proba." localSheetId="59" hidden="1">{#N/A,#N/A,TRUE,"A1";#N/A,#N/A,TRUE,"A2";#N/A,#N/A,TRUE,"B1"}</definedName>
    <definedName name="wrn.Proba." localSheetId="60" hidden="1">{#N/A,#N/A,TRUE,"A1";#N/A,#N/A,TRUE,"A2";#N/A,#N/A,TRUE,"B1"}</definedName>
    <definedName name="wrn.Proba." localSheetId="61" hidden="1">{#N/A,#N/A,TRUE,"A1";#N/A,#N/A,TRUE,"A2";#N/A,#N/A,TRUE,"B1"}</definedName>
    <definedName name="wrn.Proba." localSheetId="62" hidden="1">{#N/A,#N/A,TRUE,"A1";#N/A,#N/A,TRUE,"A2";#N/A,#N/A,TRUE,"B1"}</definedName>
    <definedName name="wrn.Proba." localSheetId="63" hidden="1">{#N/A,#N/A,TRUE,"A1";#N/A,#N/A,TRUE,"A2";#N/A,#N/A,TRUE,"B1"}</definedName>
    <definedName name="wrn.Proba." localSheetId="44" hidden="1">{#N/A,#N/A,TRUE,"A1";#N/A,#N/A,TRUE,"A2";#N/A,#N/A,TRUE,"B1"}</definedName>
    <definedName name="wrn.Proba." localSheetId="67" hidden="1">{#N/A,#N/A,TRUE,"A1";#N/A,#N/A,TRUE,"A2";#N/A,#N/A,TRUE,"B1"}</definedName>
    <definedName name="wrn.Proba." localSheetId="45" hidden="1">{#N/A,#N/A,TRUE,"A1";#N/A,#N/A,TRUE,"A2";#N/A,#N/A,TRUE,"B1"}</definedName>
    <definedName name="wrn.Proba." hidden="1">{#N/A,#N/A,TRUE,"A1";#N/A,#N/A,TRUE,"A2";#N/A,#N/A,TRUE,"B1"}</definedName>
  </definedNames>
  <calcPr fullCalcOnLoad="1"/>
</workbook>
</file>

<file path=xl/comments32.xml><?xml version="1.0" encoding="utf-8"?>
<comments xmlns="http://schemas.openxmlformats.org/spreadsheetml/2006/main">
  <authors>
    <author>Bilance Kft</author>
  </authors>
  <commentList>
    <comment ref="A14" authorId="0">
      <text>
        <r>
          <rPr>
            <b/>
            <sz val="8"/>
            <rFont val="Tahoma"/>
            <family val="0"/>
          </rPr>
          <t>Bankkamat
Egyéb kamat
Várható jutalék
Stb.</t>
        </r>
      </text>
    </comment>
    <comment ref="A19" authorId="0">
      <text>
        <r>
          <rPr>
            <b/>
            <sz val="8"/>
            <rFont val="Tahoma"/>
            <family val="0"/>
          </rPr>
          <t>Biztosítási díj
Bérleti díj
Operatív lízing díj
Előfizetések
Stb.</t>
        </r>
      </text>
    </comment>
    <comment ref="A24" authorId="0">
      <text>
        <r>
          <rPr>
            <b/>
            <sz val="8"/>
            <rFont val="Tahoma"/>
            <family val="0"/>
          </rPr>
          <t>Átvállalt, még nem rendezett kötelezettség
Beruházási hitek nem realizált árfolyamnyeresége
Stb.</t>
        </r>
      </text>
    </comment>
  </commentList>
</comments>
</file>

<file path=xl/comments37.xml><?xml version="1.0" encoding="utf-8"?>
<comments xmlns="http://schemas.openxmlformats.org/spreadsheetml/2006/main">
  <authors>
    <author>Bilance Kft</author>
  </authors>
  <commentList>
    <comment ref="A14" authorId="0">
      <text>
        <r>
          <rPr>
            <b/>
            <sz val="8"/>
            <rFont val="Tahoma"/>
            <family val="0"/>
          </rPr>
          <t>- Előre beszedett bérleti díj
- Kártérítési igény
- Késedelmi kamat
- Bírósági költség
- Költségek fedezetére kapott támogatás</t>
        </r>
      </text>
    </comment>
    <comment ref="A19" authorId="0">
      <text>
        <r>
          <rPr>
            <b/>
            <sz val="8"/>
            <rFont val="Tahoma"/>
            <family val="0"/>
          </rPr>
          <t>- Közüzemi díjak
- Bankköltség és jutalék
- Hitelkamatok
- Könyvvizsgálati díj
- Prémium és jutalom, valamint ezek járulékai</t>
        </r>
      </text>
    </comment>
    <comment ref="A24" authorId="0">
      <text>
        <r>
          <rPr>
            <b/>
            <sz val="8"/>
            <rFont val="Tahoma"/>
            <family val="0"/>
          </rPr>
          <t>- Fejlesztési célra kapott támogatás
- Elengedett, átvállalt kötelezettség
- Térítés nélkül átvett eszközök
- Negatív üzleti vagy cégérték</t>
        </r>
      </text>
    </comment>
  </commentList>
</comments>
</file>

<file path=xl/comments38.xml><?xml version="1.0" encoding="utf-8"?>
<comments xmlns="http://schemas.openxmlformats.org/spreadsheetml/2006/main">
  <authors>
    <author>Bilance Kft</author>
  </authors>
  <commentList>
    <comment ref="A32" authorId="0">
      <text>
        <r>
          <rPr>
            <b/>
            <sz val="8"/>
            <rFont val="Tahoma"/>
            <family val="0"/>
          </rPr>
          <t>- Közüzemi díjak
- Bankköltség és jutalék
- Hitelkamatok
- Könyvvizsgálati díj
- Prémium és jutalom, valamint ezek járulékai</t>
        </r>
      </text>
    </comment>
  </commentList>
</comments>
</file>

<file path=xl/comments40.xml><?xml version="1.0" encoding="utf-8"?>
<comments xmlns="http://schemas.openxmlformats.org/spreadsheetml/2006/main">
  <authors>
    <author>Bilance Kft</author>
  </authors>
  <commentList>
    <comment ref="D10" authorId="0">
      <text>
        <r>
          <rPr>
            <b/>
            <sz val="8"/>
            <rFont val="Tahoma"/>
            <family val="0"/>
          </rPr>
          <t>A csökkenéseket minuszként írjuk be.</t>
        </r>
      </text>
    </comment>
    <comment ref="A11"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12"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13" authorId="0">
      <text>
        <r>
          <rPr>
            <b/>
            <sz val="8"/>
            <rFont val="Tahoma"/>
            <family val="0"/>
          </rPr>
          <t>20% alatti részesedések</t>
        </r>
      </text>
    </comment>
    <comment ref="A16" authorId="0">
      <text>
        <r>
          <rPr>
            <b/>
            <sz val="8"/>
            <rFont val="Tahoma"/>
            <family val="0"/>
          </rPr>
          <t>Kötvények
Diszkont értékpapírok
Zárt végű befektetési jegyek</t>
        </r>
      </text>
    </comment>
    <comment ref="A28" authorId="0">
      <text>
        <r>
          <rPr>
            <b/>
            <sz val="8"/>
            <rFont val="Tahoma"/>
            <family val="0"/>
          </rPr>
          <t>Bankkamat
Egyéb kamat
Várható jutalék
Stb.</t>
        </r>
      </text>
    </comment>
  </commentList>
</comments>
</file>

<file path=xl/comments47.xml><?xml version="1.0" encoding="utf-8"?>
<comments xmlns="http://schemas.openxmlformats.org/spreadsheetml/2006/main">
  <authors>
    <author>Bilance Kft</author>
    <author>W?gner ?s T?rsai Kft.</author>
  </authors>
  <commentList>
    <comment ref="E6" authorId="0">
      <text>
        <r>
          <rPr>
            <b/>
            <sz val="8"/>
            <rFont val="Tahoma"/>
            <family val="0"/>
          </rPr>
          <t>A csökkenéseket minuszként írjuk be.</t>
        </r>
      </text>
    </comment>
    <comment ref="J6" authorId="0">
      <text>
        <r>
          <rPr>
            <b/>
            <sz val="8"/>
            <rFont val="Tahoma"/>
            <family val="0"/>
          </rPr>
          <t>A csökkenéseket minuszként írjuk be.</t>
        </r>
      </text>
    </comment>
    <comment ref="O6" authorId="0">
      <text>
        <r>
          <rPr>
            <b/>
            <sz val="8"/>
            <rFont val="Tahoma"/>
            <family val="0"/>
          </rPr>
          <t>A csökkenéseket minuszként írjuk be.</t>
        </r>
      </text>
    </comment>
    <comment ref="A21" authorId="0">
      <text>
        <r>
          <rPr>
            <b/>
            <sz val="8"/>
            <rFont val="Tahoma"/>
            <family val="0"/>
          </rPr>
          <t xml:space="preserve">Koncessziós jog
Bérleti jog
Használati jog
Játékjog
Márkanév
Licencek
Egyéb vagyoni értékű jog
</t>
        </r>
      </text>
    </comment>
    <comment ref="A26" authorId="0">
      <text>
        <r>
          <rPr>
            <b/>
            <sz val="8"/>
            <rFont val="Tahoma"/>
            <family val="0"/>
          </rPr>
          <t>Szoftver
Egyéb szellemi alkotás
Találmány
Szabadalom
Ipari minta
Know-how
Gyártási eljárás
Védjegy
Egyéb szellemi termékek</t>
        </r>
      </text>
    </comment>
    <comment ref="G2" authorId="1">
      <text>
        <r>
          <rPr>
            <b/>
            <sz val="8"/>
            <rFont val="Tahoma"/>
            <family val="0"/>
          </rPr>
          <t>1. TESZK rendszerben/Kimutatások/Kiegészítő melléklet menüben
2. A kieg3, kieg4, kieg5 kiválaszt, listát nem kér
3. Az Adatátvétel TESZK programból gombot megnyomni
4. I:/ KONYV04/TESZK/Cégnév/KIEG3.DBF-et kell választani</t>
        </r>
      </text>
    </comment>
  </commentList>
</comments>
</file>

<file path=xl/comments48.xml><?xml version="1.0" encoding="utf-8"?>
<comments xmlns="http://schemas.openxmlformats.org/spreadsheetml/2006/main">
  <authors>
    <author>Bilance Kft</author>
  </authors>
  <commentList>
    <comment ref="E6" authorId="0">
      <text>
        <r>
          <rPr>
            <b/>
            <sz val="8"/>
            <rFont val="Tahoma"/>
            <family val="0"/>
          </rPr>
          <t>A csökkenéseket minuszként írjuk be.</t>
        </r>
      </text>
    </comment>
    <comment ref="J6" authorId="0">
      <text>
        <r>
          <rPr>
            <b/>
            <sz val="8"/>
            <rFont val="Tahoma"/>
            <family val="0"/>
          </rPr>
          <t>A csökkenéseket minuszként írjuk be.</t>
        </r>
      </text>
    </comment>
    <comment ref="O6" authorId="0">
      <text>
        <r>
          <rPr>
            <b/>
            <sz val="8"/>
            <rFont val="Tahoma"/>
            <family val="0"/>
          </rPr>
          <t>A csökkenéseket minuszként írjuk be.</t>
        </r>
      </text>
    </comment>
    <comment ref="A11" authorId="0">
      <text>
        <r>
          <rPr>
            <b/>
            <sz val="8"/>
            <rFont val="Tahoma"/>
            <family val="0"/>
          </rPr>
          <t xml:space="preserve">Az ingatlanok közé sorolandó:
- a földterület, 
- a telek, 
- a telkesítés 
- az épület, 
- az épületrész, 
- az egyéb építmény, 
- az üzemkörön kívüli ingatlan, 
- illetve ezek tulajdoni hányada, - 
- ingatlanokhoz kapcsolódó vagyoni értékű jogok, különösen: 
   - a földhasználat, 
   - a haszonélvezet és használat, 
   - a bérleti jog, 
   - a szolgalmi jog, 
   - az ingatlanok rendeltetésszerű használatának előfeltételét jelentő - jogszabályban nevesített - hozzájárulások:
        - (víz- és csatornahasználati hozzájárulás,
        - villamosfejlesztési hozzájárulás, 
        - gázelosztó vezetékre vonatkozó hálózatfejlesztési hozzájárulás) 
      megfizetése alapján szerzett használati jog, valamint az ingatlanhoz kapcsolódó egyéb jogok.  
függetlenül attól, hogy azokat vásárolták vagy a vállalkozó állította elő, illetve azok saját tulajdonú vagy bérelt ingatlanon valósultak meg.
 </t>
        </r>
      </text>
    </comment>
    <comment ref="A16" authorId="0">
      <text>
        <r>
          <rPr>
            <b/>
            <sz val="8"/>
            <rFont val="Tahoma"/>
            <family val="0"/>
          </rPr>
          <t>A műszaki berendezések, gépek, járművek között kell kimutatni a rendeltetésszerűen használatba vett, üzembe helyezett, a vállalkozó tevékenységét közvetlenül szolgáló:
- erőgépeket, 
- erőművi berendezéseket, 
- egyéb gépeket, 
- berendezéseket, 
- műszereket és szerszámokat, 
- szállítóeszközöket, 
- hírközlő berendezéseket, 
- számítástechnikai eszközöket, 
- a tevékenységi profilt meghatározó vasúti, közúti, vízi- és légiközlekedési eszközöket, 
-  az itt felsorolt, bérbe vett eszközökön végzett és aktivált beruházást, felújítást.</t>
        </r>
      </text>
    </comment>
    <comment ref="A21" authorId="0">
      <text>
        <r>
          <rPr>
            <b/>
            <sz val="8"/>
            <rFont val="Tahoma"/>
            <family val="0"/>
          </rPr>
          <t>Az egyéb berendezések, felszerelések, járművek közé tartoznak azok a rendeltetésszerűen használatba vett, üzembe helyezett, a műszaki berendezések, gépek, járművek közé nem tartozó: 
- gépek, 
- berendezések, 
- felszerelések, 
- járművek, 
amelyek a vállalkozó tevékenységét közvetetten szolgálják. Ilyenek különösen: 
- az egyéb üzemi (üzleti) gépek, 
- berendezések, 
- felszerelések, 
- járművek, 
- az irodai, igazgatási berendezések, felszerelések, 
- az üzemkörön kívüli berendezések, felszerelések, járművek, 
- az itt felsorolt, bérbe vett eszközökön végzett és aktivált beruházás, felújítás.</t>
        </r>
      </text>
    </comment>
    <comment ref="A41" authorId="0">
      <text>
        <r>
          <rPr>
            <b/>
            <sz val="8"/>
            <rFont val="Tahoma"/>
            <family val="0"/>
          </rPr>
          <t>A tárgyi eszközök értékhelyesbítéseként csak az Ingatlanok, Műszaki és Egyéb gépek berendezések valamint a Tenyészállatok - könyv szerinti értéket meghaladó - piaci értéke és könyv szerinti értéke (a bekerülési értéknek a terv szerinti értékcsökkenés elszámolt összegével csökkentett értéke) közötti különbözet mutatható ki.</t>
        </r>
      </text>
    </comment>
    <comment ref="A43" authorId="0">
      <text>
        <r>
          <rPr>
            <b/>
            <sz val="8"/>
            <rFont val="Tahoma"/>
            <family val="0"/>
          </rPr>
          <t>26. § (1) A tárgyi eszközök között a mérlegben azokat a rendeltetésszerűen használatba vett, üzembe helyezett anyagi eszközöket (földterület, telek, telkesítés, erdő, ültetvény, épület, egyéb építmény, műszaki berendezés, gép, jármű, üzemi és üzleti felszerelés, egyéb berendezés, ingatlanokhoz kapcsolódó vagyoni értékű jogok), tenyészállatokat kell kimutatni, amelyek tartósan - közvetlenül vagy közvetett módon - szolgálják a vállalkozó tevékenységét, továbbá az ezen eszközök beszerzésére (a beruházásokra) adott előlegeket és a beruházásokat, valamint a tárgyi eszközök értékhelyesbítését.</t>
        </r>
      </text>
    </comment>
  </commentList>
</comments>
</file>

<file path=xl/comments49.xml><?xml version="1.0" encoding="utf-8"?>
<comments xmlns="http://schemas.openxmlformats.org/spreadsheetml/2006/main">
  <authors>
    <author>Bilance Kft</author>
  </authors>
  <commentList>
    <comment ref="N5" authorId="0">
      <text>
        <r>
          <rPr>
            <b/>
            <sz val="8"/>
            <rFont val="Tahoma"/>
            <family val="0"/>
          </rPr>
          <t>Mérleggel egyezően</t>
        </r>
      </text>
    </comment>
    <comment ref="E6" authorId="0">
      <text>
        <r>
          <rPr>
            <b/>
            <sz val="8"/>
            <rFont val="Tahoma"/>
            <family val="0"/>
          </rPr>
          <t>A csökkenéseket minuszként írjuk be.</t>
        </r>
      </text>
    </comment>
    <comment ref="J6" authorId="0">
      <text>
        <r>
          <rPr>
            <b/>
            <sz val="8"/>
            <rFont val="Tahoma"/>
            <family val="0"/>
          </rPr>
          <t>A csökkenéseket minuszként írjuk be.</t>
        </r>
      </text>
    </comment>
    <comment ref="A11"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16"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21" authorId="0">
      <text>
        <r>
          <rPr>
            <b/>
            <sz val="8"/>
            <rFont val="Tahoma"/>
            <family val="0"/>
          </rPr>
          <t>20% alatti részesedések</t>
        </r>
      </text>
    </comment>
    <comment ref="A36" authorId="0">
      <text>
        <r>
          <rPr>
            <b/>
            <sz val="8"/>
            <rFont val="Tahoma"/>
            <family val="0"/>
          </rPr>
          <t>Kötvények
Diszkont értékpapírok
Zárt végű befektetési jegyek</t>
        </r>
      </text>
    </comment>
  </commentList>
</comments>
</file>

<file path=xl/comments52.xml><?xml version="1.0" encoding="utf-8"?>
<comments xmlns="http://schemas.openxmlformats.org/spreadsheetml/2006/main">
  <authors>
    <author>Bilance Kft</author>
  </authors>
  <commentList>
    <comment ref="E6" authorId="0">
      <text>
        <r>
          <rPr>
            <b/>
            <sz val="8"/>
            <rFont val="Tahoma"/>
            <family val="0"/>
          </rPr>
          <t>Csökkenést mínuszként beírni</t>
        </r>
      </text>
    </comment>
    <comment ref="I6" authorId="0">
      <text>
        <r>
          <rPr>
            <b/>
            <sz val="8"/>
            <rFont val="Tahoma"/>
            <family val="0"/>
          </rPr>
          <t>Csökkenést mínuszként beírni</t>
        </r>
      </text>
    </comment>
    <comment ref="J6" authorId="0">
      <text>
        <r>
          <rPr>
            <b/>
            <sz val="8"/>
            <rFont val="Tahoma"/>
            <family val="0"/>
          </rPr>
          <t>Visszaírást mínuszként beírni</t>
        </r>
      </text>
    </comment>
  </commentList>
</comments>
</file>

<file path=xl/comments54.xml><?xml version="1.0" encoding="utf-8"?>
<comments xmlns="http://schemas.openxmlformats.org/spreadsheetml/2006/main">
  <authors>
    <author>Bilance Kft</author>
  </authors>
  <commentList>
    <comment ref="A11" authorId="0">
      <text>
        <r>
          <rPr>
            <b/>
            <sz val="8"/>
            <rFont val="Tahoma"/>
            <family val="0"/>
          </rPr>
          <t>Bankkamat
Egyéb kamat
Várható jutalék
Stb.</t>
        </r>
      </text>
    </comment>
    <comment ref="A16" authorId="0">
      <text>
        <r>
          <rPr>
            <b/>
            <sz val="8"/>
            <rFont val="Tahoma"/>
            <family val="0"/>
          </rPr>
          <t>Biztosítási díj
Bérleti díj
Operatív lízing díj
Előfizetések
Stb.</t>
        </r>
      </text>
    </comment>
    <comment ref="A21" authorId="0">
      <text>
        <r>
          <rPr>
            <b/>
            <sz val="8"/>
            <rFont val="Tahoma"/>
            <family val="0"/>
          </rPr>
          <t>Átvállalt, még nem rendezett kötelezettség
Beruházási hitek nem realizált árfolyamnyeresége
Stb.</t>
        </r>
      </text>
    </comment>
  </commentList>
</comments>
</file>

<file path=xl/comments56.xml><?xml version="1.0" encoding="utf-8"?>
<comments xmlns="http://schemas.openxmlformats.org/spreadsheetml/2006/main">
  <authors>
    <author>W?gner ?s T?rsai Kft.</author>
    <author>Bilance Kft</author>
  </authors>
  <commentList>
    <comment ref="A11" authorId="0">
      <text>
        <r>
          <rPr>
            <b/>
            <sz val="8"/>
            <rFont val="Tahoma"/>
            <family val="0"/>
          </rPr>
          <t xml:space="preserve">FÜGGŐ KÖTELEZETTSÉGEKRE
Garanciális kötelezettségekre
Kezességvállalásra
Opciós ügyletekre
Nem valódi penziós ügyletekre
Le nem zárt peres ügyekre
Váltókötelezettségekre
Egyéb függő kötelezettségekre
BIZTOS JÖVŐBENI KÖTELEZETTSÉGEKRE
Határidős ügyletekre
SWAP ügyletekre
Korengedményes nyugdíjra
Végkielégítés fedezetére
Környezetvédelmi kötelezettségekre
Egyéb biztos kötelezettségekre
</t>
        </r>
      </text>
    </comment>
    <comment ref="A16" authorId="1">
      <text>
        <r>
          <rPr>
            <b/>
            <sz val="8"/>
            <rFont val="Tahoma"/>
            <family val="0"/>
          </rPr>
          <t>Fenntartási költségekre
Átszervezési költségekre
Környezetvédelmet szolgáló
Egyéb költségekre</t>
        </r>
      </text>
    </comment>
    <comment ref="A21" authorId="1">
      <text>
        <r>
          <rPr>
            <b/>
            <sz val="8"/>
            <rFont val="Tahoma"/>
            <family val="0"/>
          </rPr>
          <t>Beruházási hitel nem realizált árfolyamnyeresége miatt</t>
        </r>
      </text>
    </comment>
  </commentList>
</comments>
</file>

<file path=xl/comments60.xml><?xml version="1.0" encoding="utf-8"?>
<comments xmlns="http://schemas.openxmlformats.org/spreadsheetml/2006/main">
  <authors>
    <author>Bilance Kft</author>
  </authors>
  <commentList>
    <comment ref="A11" authorId="0">
      <text>
        <r>
          <rPr>
            <b/>
            <sz val="8"/>
            <rFont val="Tahoma"/>
            <family val="0"/>
          </rPr>
          <t>- Előre beszedett bérleti díj
- Kártérítési igény
- Késedelmi kamat
- Bírósági költség
- Költségek fedezetére kapott támogatás</t>
        </r>
      </text>
    </comment>
    <comment ref="A16" authorId="0">
      <text>
        <r>
          <rPr>
            <b/>
            <sz val="8"/>
            <rFont val="Tahoma"/>
            <family val="0"/>
          </rPr>
          <t>- Közüzemi díjak
- Bankköltség és jutalék
- Hitelkamatok
- Könyvvizsgálati díj
- Prémium és jutalom, valamint ezek járulékai</t>
        </r>
      </text>
    </comment>
    <comment ref="A21" authorId="0">
      <text>
        <r>
          <rPr>
            <b/>
            <sz val="8"/>
            <rFont val="Tahoma"/>
            <family val="0"/>
          </rPr>
          <t>- Fejlesztési célra kapott támogatás
- Elengedett, átvállalt kötelezettség
- Térítés nélkül átvett eszközök
- Negatív üzleti vagy cégérték</t>
        </r>
      </text>
    </comment>
  </commentList>
</comments>
</file>

<file path=xl/comments61.xml><?xml version="1.0" encoding="utf-8"?>
<comments xmlns="http://schemas.openxmlformats.org/spreadsheetml/2006/main">
  <authors>
    <author>Bilance Kft</author>
  </authors>
  <commentList>
    <comment ref="A21" authorId="0">
      <text>
        <r>
          <rPr>
            <b/>
            <sz val="8"/>
            <rFont val="Tahoma"/>
            <family val="0"/>
          </rPr>
          <t>- Káresemények bevétele
- Bírságok, kötbérek
- Behajthatatlannak minősített követelésekre történt befizetések
- Költségek fedezetére kapott támogatások
- Céltartalék felhasználása (csökkenése, feloldása)
- Utólag kapott, nem számlázott engedmények (nem pénzügyi rendezéshez kapcsolódó)
- Immateriális javak és tárgyi eszközök értékesítésének bevételei
- Negatív üzleti vagy cégértékből leírt összeg
- Tárgyi eszközök, immateriális javak terven felüli értékcsökkenéseinek visszaírása
- Készletek és követelések értékvesztéseinek visszaírása</t>
        </r>
      </text>
    </comment>
  </commentList>
</comments>
</file>

<file path=xl/comments64.xml><?xml version="1.0" encoding="utf-8"?>
<comments xmlns="http://schemas.openxmlformats.org/spreadsheetml/2006/main">
  <authors>
    <author>Bilance Kft</author>
  </authors>
  <commentList>
    <comment ref="A16" authorId="0">
      <text>
        <r>
          <rPr>
            <b/>
            <sz val="8"/>
            <rFont val="Tahoma"/>
            <family val="0"/>
          </rPr>
          <t>- Közüzemi díjak
- Bankköltség és jutalék
- Hitelkamatok
- Könyvvizsgálati díj
- Prémium és jutalom, valamint ezek járulékai</t>
        </r>
      </text>
    </comment>
  </commentList>
</comments>
</file>

<file path=xl/comments68.xml><?xml version="1.0" encoding="utf-8"?>
<comments xmlns="http://schemas.openxmlformats.org/spreadsheetml/2006/main">
  <authors>
    <author>alma</author>
  </authors>
  <commentList>
    <comment ref="A1" authorId="0">
      <text>
        <r>
          <rPr>
            <b/>
            <sz val="8"/>
            <rFont val="Tahoma"/>
            <family val="0"/>
          </rPr>
          <t>tartomány első sora</t>
        </r>
      </text>
    </comment>
    <comment ref="B1" authorId="0">
      <text>
        <r>
          <rPr>
            <sz val="8"/>
            <rFont val="Tahoma"/>
            <family val="0"/>
          </rPr>
          <t>tartomány utolsó sora</t>
        </r>
      </text>
    </comment>
    <comment ref="C1" authorId="0">
      <text>
        <r>
          <rPr>
            <b/>
            <sz val="8"/>
            <rFont val="Tahoma"/>
            <family val="0"/>
          </rPr>
          <t>HASZNÁLATON KÍVÜL</t>
        </r>
      </text>
    </comment>
    <comment ref="D1" authorId="0">
      <text>
        <r>
          <rPr>
            <b/>
            <sz val="8"/>
            <rFont val="Tahoma"/>
            <family val="0"/>
          </rPr>
          <t>ezen főkönyvi számlaszám "mintának" kell egyezni TESZK fok számlaszámmal</t>
        </r>
      </text>
    </comment>
    <comment ref="E1" authorId="0">
      <text>
        <r>
          <rPr>
            <b/>
            <sz val="8"/>
            <rFont val="Tahoma"/>
            <family val="0"/>
          </rPr>
          <t>A matatott munkalap neve</t>
        </r>
      </text>
    </comment>
    <comment ref="C6" authorId="0">
      <text>
        <r>
          <rPr>
            <b/>
            <sz val="8"/>
            <rFont val="Tahoma"/>
            <family val="0"/>
          </rPr>
          <t>HASZNÁLATON KÍVÜL</t>
        </r>
      </text>
    </comment>
    <comment ref="D6" authorId="0">
      <text>
        <r>
          <rPr>
            <b/>
            <sz val="8"/>
            <rFont val="Tahoma"/>
            <family val="0"/>
          </rPr>
          <t>ezen főkönyvi számlaszám "mintának" kell egyezni TESZK fok számlaszámmal</t>
        </r>
      </text>
    </comment>
    <comment ref="E6" authorId="0">
      <text>
        <r>
          <rPr>
            <b/>
            <sz val="8"/>
            <rFont val="Tahoma"/>
            <family val="0"/>
          </rPr>
          <t>A matatott munkalap neve</t>
        </r>
      </text>
    </comment>
  </commentList>
</comments>
</file>

<file path=xl/sharedStrings.xml><?xml version="1.0" encoding="utf-8"?>
<sst xmlns="http://schemas.openxmlformats.org/spreadsheetml/2006/main" count="3692" uniqueCount="1850">
  <si>
    <t>III.H.I.3 Jelentős hatások részletezése (Rendkívüli esemény/Értékesítés nettó árbevétele &gt;0,2)</t>
  </si>
  <si>
    <r>
      <t>E</t>
    </r>
    <r>
      <rPr>
        <sz val="10"/>
        <rFont val="Arial"/>
        <family val="0"/>
      </rPr>
      <t>lszámolási/</t>
    </r>
    <r>
      <rPr>
        <b/>
        <sz val="10"/>
        <rFont val="Arial"/>
        <family val="2"/>
      </rPr>
      <t>L</t>
    </r>
    <r>
      <rPr>
        <sz val="10"/>
        <rFont val="Arial"/>
        <family val="0"/>
      </rPr>
      <t xml:space="preserve">eszállítási/ </t>
    </r>
    <r>
      <rPr>
        <b/>
        <sz val="10"/>
        <rFont val="Arial"/>
        <family val="2"/>
      </rPr>
      <t>F</t>
    </r>
    <r>
      <rPr>
        <sz val="10"/>
        <rFont val="Arial"/>
        <family val="0"/>
      </rPr>
      <t xml:space="preserve">edezeti célú/ </t>
    </r>
    <r>
      <rPr>
        <b/>
        <sz val="10"/>
        <rFont val="Arial"/>
        <family val="2"/>
      </rPr>
      <t>N</t>
    </r>
    <r>
      <rPr>
        <sz val="10"/>
        <rFont val="Arial"/>
        <family val="0"/>
      </rPr>
      <t xml:space="preserve">em </t>
    </r>
    <r>
      <rPr>
        <b/>
        <sz val="10"/>
        <rFont val="Arial"/>
        <family val="2"/>
      </rPr>
      <t>F</t>
    </r>
    <r>
      <rPr>
        <sz val="10"/>
        <rFont val="Arial"/>
        <family val="0"/>
      </rPr>
      <t>edezeti célú ügylet</t>
    </r>
  </si>
  <si>
    <r>
      <t xml:space="preserve">Fajtája </t>
    </r>
    <r>
      <rPr>
        <b/>
        <sz val="10"/>
        <rFont val="Arial"/>
        <family val="2"/>
      </rPr>
      <t>(T</t>
    </r>
    <r>
      <rPr>
        <sz val="10"/>
        <rFont val="Arial"/>
        <family val="0"/>
      </rPr>
      <t>őzsdei/</t>
    </r>
    <r>
      <rPr>
        <b/>
        <sz val="10"/>
        <rFont val="Arial"/>
        <family val="2"/>
      </rPr>
      <t>N</t>
    </r>
    <r>
      <rPr>
        <sz val="10"/>
        <rFont val="Arial"/>
        <family val="0"/>
      </rPr>
      <t xml:space="preserve">em </t>
    </r>
    <r>
      <rPr>
        <b/>
        <sz val="10"/>
        <rFont val="Arial"/>
        <family val="2"/>
      </rPr>
      <t>T</t>
    </r>
    <r>
      <rPr>
        <sz val="10"/>
        <rFont val="Arial"/>
        <family val="0"/>
      </rPr>
      <t>őzsdei)</t>
    </r>
  </si>
  <si>
    <t>Cash Flowra</t>
  </si>
  <si>
    <t>Készletek forgási sebessége</t>
  </si>
  <si>
    <t>Befektetett eszközök fedezettsége (I.)</t>
  </si>
  <si>
    <t>Befektetett eszközök fedezettsége (II.)</t>
  </si>
  <si>
    <t>Pénzügyi helyzet vizsgálata</t>
  </si>
  <si>
    <t>Likvid pénzeszközök aránya (gyorsráta)</t>
  </si>
  <si>
    <t>Eladósodás alakulása</t>
  </si>
  <si>
    <t>Likviditási mutató</t>
  </si>
  <si>
    <t>II.F.1 Azon kötelezettségek összege, amelyek a pénzügyi helyzet értékelése szempontjából jelentőséggel bírnak, és a mérlegben nem jelennek meg (Függő kötelezettségek, jövőbeni kötelezettségek).</t>
  </si>
  <si>
    <t>Jövőbeni kötelezettség</t>
  </si>
  <si>
    <t>Függő kötelezettség</t>
  </si>
  <si>
    <t>II.F.2  Mérlegen kívüli egyéb tételek</t>
  </si>
  <si>
    <t>II.F.3 Zálogjoggal vagy hasonló jogokkal biztosított kötelezettségek</t>
  </si>
  <si>
    <t>Kötelezettség megnevezés</t>
  </si>
  <si>
    <t>II.F.4 Mérlegen kívüli függő kötelezettségek le nem zárt határidős, opciós vagy swap ügyletekből</t>
  </si>
  <si>
    <t>III.B.III Értékpapírok</t>
  </si>
  <si>
    <t>Árbevétel arányos nyereség</t>
  </si>
  <si>
    <t>Tőkearányos üzemi eredmény</t>
  </si>
  <si>
    <t>Alaptőke jövedelmezősége</t>
  </si>
  <si>
    <t>Árbevétel arányos pénzjövedelem</t>
  </si>
  <si>
    <t xml:space="preserve">Az értékesítés közvetlen költségei </t>
  </si>
  <si>
    <t>L.H.I-VIIB</t>
  </si>
  <si>
    <t>Beszámóló készítőjének neve:</t>
  </si>
  <si>
    <t>Regisztrációs száma:</t>
  </si>
  <si>
    <t>L.B.I</t>
  </si>
  <si>
    <t>L.B.II</t>
  </si>
  <si>
    <t>L.B.III</t>
  </si>
  <si>
    <t>2. Kísérleti fejlesztés aktivált értéke</t>
  </si>
  <si>
    <t>3. Vagyoni értékű jogok</t>
  </si>
  <si>
    <t>5. Üzleti cégérték</t>
  </si>
  <si>
    <t>Immateriális javak összesen</t>
  </si>
  <si>
    <t>II. Tárgyi eszközök</t>
  </si>
  <si>
    <t>1. Ingatlanok</t>
  </si>
  <si>
    <t>2. Műszaki  berendezések, gépek, járművek</t>
  </si>
  <si>
    <t>3. Egyéb berendezések, gépek, járművek</t>
  </si>
  <si>
    <t>4. Tenyészállatok</t>
  </si>
  <si>
    <t>5. Beruházások</t>
  </si>
  <si>
    <t>Tárgyi eszközök összesen</t>
  </si>
  <si>
    <t xml:space="preserve"> Megnevezés</t>
  </si>
  <si>
    <t>Értékvesztés</t>
  </si>
  <si>
    <t>Könyvszerinti érték</t>
  </si>
  <si>
    <t>Veszélyességi osztályok</t>
  </si>
  <si>
    <t>Nyitó készlet</t>
  </si>
  <si>
    <t>Záró készlet</t>
  </si>
  <si>
    <t>mennyiség</t>
  </si>
  <si>
    <t>érték</t>
  </si>
  <si>
    <t>B/II/2. Követelések kapcsolt vállalkozással szemben</t>
  </si>
  <si>
    <t>Ft</t>
  </si>
  <si>
    <t>Megszerzés indoka</t>
  </si>
  <si>
    <t>Száma (db)</t>
  </si>
  <si>
    <t>Névértéke</t>
  </si>
  <si>
    <t xml:space="preserve">Aránya Névérték/Jegyzett t. </t>
  </si>
  <si>
    <t>Elidegenítésért kapott összeg        (Ft)</t>
  </si>
  <si>
    <t>Ft/db</t>
  </si>
  <si>
    <t>Visszaírás</t>
  </si>
  <si>
    <t>Bevételek aktív időbeli elhatárolásai</t>
  </si>
  <si>
    <t>Hitel és kölcsön törlesztése, visszafizetése</t>
  </si>
  <si>
    <t>Hosszú lejáratra nyújtott kölcs.és elhelyezett bankbetétek</t>
  </si>
  <si>
    <t>Véglegesen átadott pénzeszköz</t>
  </si>
  <si>
    <t>Alapítókkal szembeni, illetve egyéb hosszú lejáratú kötelezettségek változása</t>
  </si>
  <si>
    <t>A kutatás, kísérleti fejlesztés költségeinek  megnevezése</t>
  </si>
  <si>
    <t>Tárgyi eszközök + készletek átlagos értéke</t>
  </si>
  <si>
    <t>Eredménykimutatás I. sor</t>
  </si>
  <si>
    <t>(Mérleg A/II+B/I sorok nyitó és záróállománya)/2</t>
  </si>
  <si>
    <t>A+B+C Reihe</t>
  </si>
  <si>
    <t>B Reihe</t>
  </si>
  <si>
    <t>Reihe D+E+F+G</t>
  </si>
  <si>
    <t>(Vertreter)</t>
  </si>
  <si>
    <t xml:space="preserve">    davon von verbundenen Unternehmen</t>
  </si>
  <si>
    <t>Befektetett eszközök fedezettsége (Fedezet I.)</t>
  </si>
  <si>
    <t>Befektetett eszközök fedezettsége (Fedezet II.)</t>
  </si>
  <si>
    <t>Saját + idegen tőke</t>
  </si>
  <si>
    <t>Kapitalrücklage</t>
  </si>
  <si>
    <t>Modifizierung der Vorjahre</t>
  </si>
  <si>
    <t xml:space="preserve">Társ. adóalap </t>
  </si>
  <si>
    <t>Vorräte</t>
  </si>
  <si>
    <t>Berichtformat</t>
  </si>
  <si>
    <t xml:space="preserve">      P.H.</t>
  </si>
  <si>
    <t xml:space="preserve">     STAMP</t>
  </si>
  <si>
    <t>Megváltozott munkaképességűek foglalkoztatási kedvezménye</t>
  </si>
  <si>
    <t xml:space="preserve">Visszafizetési kötelezettség nélkül kapott - pénzügyileg rendezett - támogatás, átvállalt tartozás elengedett kötelezettség miatt bevételként elszámolt összeg </t>
  </si>
  <si>
    <t xml:space="preserve"> - </t>
  </si>
  <si>
    <t>Átlagos beszerzési ár alkalmazásával kerül megállapításra</t>
  </si>
  <si>
    <t>A vállalkozás nem állapított meg a Szv tv. által meghatározott mértéket (2%, ill. 500 M Ft) meghaladó jentős összegű hibát.</t>
  </si>
  <si>
    <t>A vállalkozás nem állapított meg a Szv. Tv által meghatározott mértéket  (saját tőke 20%-a ) meghaladó, megbízható és valós képet lényegesen befolyásoló hibát.</t>
  </si>
  <si>
    <t xml:space="preserve">Rendkívüli tételeknél jelentősnek minősítettük a hatást, ha a vátozás az értékesítés nettó árbevételének 20%-át meghaladta. </t>
  </si>
  <si>
    <t>FIFO módszer szerint kerül megállapításra</t>
  </si>
  <si>
    <t>Anyagköltség</t>
  </si>
  <si>
    <t>Igénybevett szolgáltatások értéke</t>
  </si>
  <si>
    <t xml:space="preserve">Egyéb szolgáltatások értéke </t>
  </si>
  <si>
    <t>Kapott osztalék és részesedés</t>
  </si>
  <si>
    <t>Egyéb kapott kamatok és kamatjellegű bevételek</t>
  </si>
  <si>
    <t xml:space="preserve">Pénzügyi műveletek egyéb bevételei </t>
  </si>
  <si>
    <t xml:space="preserve">Fizetendő kamatok és kamatjellegű kifizetések </t>
  </si>
  <si>
    <t xml:space="preserve">Pénzügyi műveletek egyéb ráfordításai </t>
  </si>
  <si>
    <t>Piacok</t>
  </si>
  <si>
    <t>Európai Unió:</t>
  </si>
  <si>
    <t>Európai Unión kívül:</t>
  </si>
  <si>
    <t>Megnevezés (jogcím)</t>
  </si>
  <si>
    <t>Várható kötelezett-ségek</t>
  </si>
  <si>
    <t>T</t>
  </si>
  <si>
    <t>Értéke</t>
  </si>
  <si>
    <t>Termék / Áru</t>
  </si>
  <si>
    <t>Közvetlen költség/ELÁBÉ</t>
  </si>
  <si>
    <t>Jogcímek</t>
  </si>
  <si>
    <t>Felhasznált összegek</t>
  </si>
  <si>
    <t>Rendelkezésre álló összegek</t>
  </si>
  <si>
    <t>Garanciális kötelezettségek</t>
  </si>
  <si>
    <t>Peres ügyletekkel kapcsolatos várható kötelezettségek</t>
  </si>
  <si>
    <t>Tárgy év</t>
  </si>
  <si>
    <t>Biztosítékok</t>
  </si>
  <si>
    <t>0-ra leírt TESZK bruttó értéke</t>
  </si>
  <si>
    <t>eredményre (valós értéke)</t>
  </si>
  <si>
    <t>Cash flowra</t>
  </si>
  <si>
    <t>eredményre</t>
  </si>
  <si>
    <t>cash flowra</t>
  </si>
  <si>
    <t>Valós értékelés</t>
  </si>
  <si>
    <t>Megnevezés (pü-i instrumentumok)</t>
  </si>
  <si>
    <t>Számított piaci érték</t>
  </si>
  <si>
    <t>70.</t>
  </si>
  <si>
    <t>71.</t>
  </si>
  <si>
    <t>72.</t>
  </si>
  <si>
    <t>73.</t>
  </si>
  <si>
    <t>74.</t>
  </si>
  <si>
    <t>75.</t>
  </si>
  <si>
    <t>76.</t>
  </si>
  <si>
    <t>77.</t>
  </si>
  <si>
    <t>78.</t>
  </si>
  <si>
    <t>79.</t>
  </si>
  <si>
    <t>80.</t>
  </si>
  <si>
    <t>81.</t>
  </si>
  <si>
    <t>82.</t>
  </si>
  <si>
    <t xml:space="preserve">     81.sorból: az átváltoztatható kötvények</t>
  </si>
  <si>
    <t>83.</t>
  </si>
  <si>
    <t>84.</t>
  </si>
  <si>
    <t>85.</t>
  </si>
  <si>
    <t>86.</t>
  </si>
  <si>
    <t>87.</t>
  </si>
  <si>
    <t>88.</t>
  </si>
  <si>
    <t>89.</t>
  </si>
  <si>
    <t>90.</t>
  </si>
  <si>
    <t>Székhely, telefonszám</t>
  </si>
  <si>
    <t>Idegen nyelv</t>
  </si>
  <si>
    <t>Magyar</t>
  </si>
  <si>
    <t>Sample Manufacturing Ltd</t>
  </si>
  <si>
    <t>Sample Ltd</t>
  </si>
  <si>
    <t>Német</t>
  </si>
  <si>
    <t>91.</t>
  </si>
  <si>
    <t>92.</t>
  </si>
  <si>
    <t>93.</t>
  </si>
  <si>
    <t>94.</t>
  </si>
  <si>
    <t>Kurzfristige Verbindlichkeiten</t>
  </si>
  <si>
    <t xml:space="preserve">Line B </t>
  </si>
  <si>
    <t>Rechnung:</t>
  </si>
  <si>
    <t>Kötelezettségek áruszállításból és szolgáltatásból (szállítók)</t>
  </si>
  <si>
    <t>Részvénykibocsátás, tőkebevonás bevétele</t>
  </si>
  <si>
    <t>Kötvény, hitelviszonyt megtestesítő értékpapír kibocsátásának bevétele</t>
  </si>
  <si>
    <t>Rövid lejáratú köt-ek kapcsolt vállalkozással szemben</t>
  </si>
  <si>
    <t>Alkalmazott feltételek</t>
  </si>
  <si>
    <t>Diszkont tényezők</t>
  </si>
  <si>
    <t>Várható osztalék növekedési ráta</t>
  </si>
  <si>
    <t>Belső megtérülési ráta</t>
  </si>
  <si>
    <t>Effektív hozam</t>
  </si>
  <si>
    <t>Alternatív befektetési hozam</t>
  </si>
  <si>
    <t>Nyitó érték</t>
  </si>
  <si>
    <t>Tárgyévi változás</t>
  </si>
  <si>
    <t>Hatása</t>
  </si>
  <si>
    <t>Saját tőkére</t>
  </si>
  <si>
    <t>Csoportjai</t>
  </si>
  <si>
    <t>Valós értéke</t>
  </si>
  <si>
    <t>Lejárati ideje</t>
  </si>
  <si>
    <t>Valós érték hatása</t>
  </si>
  <si>
    <t>Saját tőkében</t>
  </si>
  <si>
    <t>Fedezeti ügylet megnevezése</t>
  </si>
  <si>
    <t>Ellentételezett nyereség/veszteség</t>
  </si>
  <si>
    <t>Eredményben</t>
  </si>
  <si>
    <t>Erdmény/Mérleg</t>
  </si>
  <si>
    <t>Változás +/-</t>
  </si>
  <si>
    <t>Módosított előző év</t>
  </si>
  <si>
    <r>
      <t>7. Saját tőke:</t>
    </r>
    <r>
      <rPr>
        <sz val="10"/>
        <rFont val="Arial"/>
        <family val="2"/>
      </rPr>
      <t xml:space="preserve"> </t>
    </r>
  </si>
  <si>
    <r>
      <t xml:space="preserve">8. Céltartalék: </t>
    </r>
    <r>
      <rPr>
        <sz val="10"/>
        <rFont val="Arial"/>
        <family val="2"/>
      </rPr>
      <t xml:space="preserve"> </t>
    </r>
  </si>
  <si>
    <r>
      <t>9. Kötelezettségek:</t>
    </r>
    <r>
      <rPr>
        <sz val="10"/>
        <rFont val="Arial"/>
        <family val="2"/>
      </rPr>
      <t xml:space="preserve"> </t>
    </r>
  </si>
  <si>
    <r>
      <t>Az értékcsökkenés elszámolása:</t>
    </r>
    <r>
      <rPr>
        <sz val="10"/>
        <rFont val="Arial"/>
        <family val="2"/>
      </rPr>
      <t xml:space="preserve"> Maradványértékkel csökkentett bruttó érték alapján történik</t>
    </r>
  </si>
  <si>
    <r>
      <t>Hasznos élettartam:</t>
    </r>
    <r>
      <rPr>
        <sz val="10"/>
        <rFont val="Arial"/>
        <family val="2"/>
      </rPr>
      <t xml:space="preserve"> az eszközök használatba vételkor kerül megállapításra.</t>
    </r>
  </si>
  <si>
    <r>
      <t>Maradványérték:</t>
    </r>
    <r>
      <rPr>
        <sz val="10"/>
        <rFont val="Arial"/>
        <family val="2"/>
      </rPr>
      <t xml:space="preserve"> nem jelentős a maradványérték, ha annak értéke a bekerülési érték 20%-át, ill. 200 E Ft-ot nem éri el.</t>
    </r>
  </si>
  <si>
    <r>
      <t>Alkalmazott leírási módszer:</t>
    </r>
    <r>
      <rPr>
        <sz val="10"/>
        <rFont val="Arial"/>
        <family val="2"/>
      </rPr>
      <t xml:space="preserve"> lineáris</t>
    </r>
  </si>
  <si>
    <t>Receipt from shares issue (capital influx)</t>
  </si>
  <si>
    <t>2016.december 31. Hőszolg.</t>
  </si>
  <si>
    <t>Komárom, 2016.04.29.</t>
  </si>
  <si>
    <t>2015</t>
  </si>
  <si>
    <t xml:space="preserve">2016. december 31.Hőszolgáltatás </t>
  </si>
  <si>
    <t>Komárom, 2017.04.09.</t>
  </si>
  <si>
    <r>
      <t>Leírási kulcs:</t>
    </r>
    <r>
      <rPr>
        <sz val="10"/>
        <rFont val="Arial"/>
        <family val="2"/>
      </rPr>
      <t xml:space="preserve"> A hasznos élettartam figyelembe vételével kerül meghatározásra (100% hasznos élettartam)</t>
    </r>
  </si>
  <si>
    <r>
      <t xml:space="preserve">Az </t>
    </r>
    <r>
      <rPr>
        <u val="single"/>
        <sz val="10"/>
        <rFont val="Arial"/>
        <family val="2"/>
      </rPr>
      <t>50 Eft</t>
    </r>
    <r>
      <rPr>
        <sz val="10"/>
        <rFont val="Arial"/>
        <family val="2"/>
      </rPr>
      <t xml:space="preserve"> egyedi beszerzési, illetve előállítási érték alatti tárgyi eszközök értékét használatba vételkor </t>
    </r>
    <r>
      <rPr>
        <u val="single"/>
        <sz val="10"/>
        <rFont val="Arial"/>
        <family val="2"/>
      </rPr>
      <t>értékcsökkenési leírásként egy összegben elszámoljuk.</t>
    </r>
  </si>
  <si>
    <t>Aufwendungen für bezogene Leistungen</t>
  </si>
  <si>
    <t>Aktiva Insgesamt</t>
  </si>
  <si>
    <t>Passiva Insgesamt</t>
  </si>
  <si>
    <t>D Reihe</t>
  </si>
  <si>
    <t>Immateriális javak értékhelyesbítése</t>
  </si>
  <si>
    <t>Műszaki berendezések, gépek, járművek</t>
  </si>
  <si>
    <t>Tenyészállatok</t>
  </si>
  <si>
    <t>Non-repayable assets received</t>
  </si>
  <si>
    <t>Cancellation of shares, disinvestments (capital reduction)</t>
  </si>
  <si>
    <t>Beruházások, felújítások</t>
  </si>
  <si>
    <t>Tárgyi eszközök értékhelyesbítése</t>
  </si>
  <si>
    <t>BEFEKTETETT PÉNZÜGYI ESZKÖZÖK</t>
  </si>
  <si>
    <t>Tartós részesedés kapcsolt vállalkozásban</t>
  </si>
  <si>
    <t>Egyéb tartós részesedés</t>
  </si>
  <si>
    <t>Egyéb tartósan adott kölcsön</t>
  </si>
  <si>
    <t>Tartós hitelviszonyt megtestesítő értékpapír</t>
  </si>
  <si>
    <t>Anyagok</t>
  </si>
  <si>
    <t>Befejezetlen termelés és félkész termékek</t>
  </si>
  <si>
    <t>MOORE STEPHENS WAGNER</t>
  </si>
  <si>
    <t>Gesamtkostverfahren "A" Version</t>
  </si>
  <si>
    <t>Növendék-, hízó- és egyéb állatok</t>
  </si>
  <si>
    <t>Késztermékek</t>
  </si>
  <si>
    <t>Áruk</t>
  </si>
  <si>
    <t>Készletekre adott előlegek</t>
  </si>
  <si>
    <t>Váltókövetelések</t>
  </si>
  <si>
    <t>Egyéb követelések</t>
  </si>
  <si>
    <t>Részesedés kapcsolt vállalkozásban</t>
  </si>
  <si>
    <t>Egyéb részesedések</t>
  </si>
  <si>
    <t>Saját részvények, saját üzletrészek</t>
  </si>
  <si>
    <t>PÉNZESZKÖZÖK</t>
  </si>
  <si>
    <t>Pénztár, csekkek</t>
  </si>
  <si>
    <t>Bankbetétek</t>
  </si>
  <si>
    <t>Aktív időbeli elhatárolások</t>
  </si>
  <si>
    <t>Bevételek aktív időbeli elhatárolása</t>
  </si>
  <si>
    <t>Halasztott ráfordítások</t>
  </si>
  <si>
    <t>Pénzeszközök összesen</t>
  </si>
  <si>
    <t>41.</t>
  </si>
  <si>
    <t>42.</t>
  </si>
  <si>
    <t>43.</t>
  </si>
  <si>
    <t>44.</t>
  </si>
  <si>
    <t>45.</t>
  </si>
  <si>
    <t>46.</t>
  </si>
  <si>
    <t>47.</t>
  </si>
  <si>
    <t>48.</t>
  </si>
  <si>
    <t>49.</t>
  </si>
  <si>
    <t>50.</t>
  </si>
  <si>
    <t>Költségek, ráfordítások passzív időbeli elhatárolása</t>
  </si>
  <si>
    <t>Deferred income</t>
  </si>
  <si>
    <t>Passive Rechnungsabgrenzungsposten der Erlöse und Erträge</t>
  </si>
  <si>
    <t>Passive Rechnungsabgrenzungsposten der Kosten und Aufwendungen</t>
  </si>
  <si>
    <t>Verschobene Erlöse und Erträge</t>
  </si>
  <si>
    <t>51.</t>
  </si>
  <si>
    <t>52.</t>
  </si>
  <si>
    <t>Források (passzívák)</t>
  </si>
  <si>
    <t>A tétel megnevezése</t>
  </si>
  <si>
    <t>53.</t>
  </si>
  <si>
    <t>54.</t>
  </si>
  <si>
    <t>55.</t>
  </si>
  <si>
    <t>56.</t>
  </si>
  <si>
    <t>57.</t>
  </si>
  <si>
    <t>58.</t>
  </si>
  <si>
    <t>59.</t>
  </si>
  <si>
    <t>60.</t>
  </si>
  <si>
    <t>61.</t>
  </si>
  <si>
    <t>62.</t>
  </si>
  <si>
    <t>63.</t>
  </si>
  <si>
    <t>64.</t>
  </si>
  <si>
    <t>65.</t>
  </si>
  <si>
    <t>66.</t>
  </si>
  <si>
    <t>67.</t>
  </si>
  <si>
    <t>68.</t>
  </si>
  <si>
    <t>69.</t>
  </si>
  <si>
    <t>Rückzahlung von Anleihen bzw. ein Kreditverh. verkörpernden Wertpap.</t>
  </si>
  <si>
    <t>Aktieneinziehung, Kapitalentnahme (Kapitalsenkung)</t>
  </si>
  <si>
    <t>Einnahmen aus der Begebung von Anleihen</t>
  </si>
  <si>
    <t>Aufnahme von Krediten und Darlehen</t>
  </si>
  <si>
    <t>L.A.I</t>
  </si>
  <si>
    <t>L.A.II</t>
  </si>
  <si>
    <t>Tőkearányos pénzjövedelem</t>
  </si>
  <si>
    <t>Inventory turnover</t>
  </si>
  <si>
    <t>Average inventory value x 365</t>
  </si>
  <si>
    <t>Simplified Income Statement  “By Nature”  format</t>
  </si>
  <si>
    <t>Mérleg"A"</t>
  </si>
  <si>
    <t>Minden leltársor mellé kell főkönyvi szám, különben nem veszi át a kieg mellékletbe</t>
  </si>
  <si>
    <t>Éves/egyszerűsített éves beszámoló,kiegészítő melléklettel és pénzügyi leltár</t>
  </si>
  <si>
    <t>I.A.1</t>
  </si>
  <si>
    <t>I.A.2</t>
  </si>
  <si>
    <t>I.B</t>
  </si>
  <si>
    <t>I.C</t>
  </si>
  <si>
    <t>II.A</t>
  </si>
  <si>
    <t>II.B.1</t>
  </si>
  <si>
    <t>II.B.2</t>
  </si>
  <si>
    <t>II.B.3</t>
  </si>
  <si>
    <t>II.B.4</t>
  </si>
  <si>
    <t>II.B.5</t>
  </si>
  <si>
    <t>II.C</t>
  </si>
  <si>
    <t>II.D</t>
  </si>
  <si>
    <t>II.E.1</t>
  </si>
  <si>
    <t>II.E.2</t>
  </si>
  <si>
    <t>II.F</t>
  </si>
  <si>
    <t>III.A.I-II</t>
  </si>
  <si>
    <t>Debts on issue of bonds</t>
  </si>
  <si>
    <t>Investment and development loans</t>
  </si>
  <si>
    <t>Other non-current loans</t>
  </si>
  <si>
    <t>Other non-current liabilities</t>
  </si>
  <si>
    <t>Erhaltene, langfristige Darlehen</t>
  </si>
  <si>
    <t>Wandelschuldverschreibungen</t>
  </si>
  <si>
    <t>Verbindlichkeiten aus Anleihen</t>
  </si>
  <si>
    <t>Investitions- und Entwicklungskredite</t>
  </si>
  <si>
    <t>Összköltség eljárással készített eredménykimutatás</t>
  </si>
  <si>
    <t>"A" változat</t>
  </si>
  <si>
    <t>Előző év évszáma</t>
  </si>
  <si>
    <t>Tárgyév évszáma</t>
  </si>
  <si>
    <t>Könyvvizsgáló ellenőrizte ?</t>
  </si>
  <si>
    <t>A munkafüzetet</t>
  </si>
  <si>
    <t>készítette:</t>
  </si>
  <si>
    <t>A közzétett adatokat könyvvizsgáló ellenőrizte</t>
  </si>
  <si>
    <t>III.C Aktív időbeli elhatárolások</t>
  </si>
  <si>
    <t>III. D SAJÁT TŐKE</t>
  </si>
  <si>
    <t>III.D. 1 Saját tőke változása az üzlet éven belül</t>
  </si>
  <si>
    <t>III.D. 2 Kibocsátott értékpapírok</t>
  </si>
  <si>
    <t>Kibocsátott részvények</t>
  </si>
  <si>
    <t>Kibocsátott átváltoztatható kötvények</t>
  </si>
  <si>
    <t>III.D.3 Értékhelyesbítések</t>
  </si>
  <si>
    <t>Tárgyévi kibocsátás      (I/N)</t>
  </si>
  <si>
    <t>Névértéke Ft (összesen)</t>
  </si>
  <si>
    <t>Jövőbeni költségekre</t>
  </si>
  <si>
    <t>Mérlegszerinti érték</t>
  </si>
  <si>
    <t>III.F Kötelezettségek</t>
  </si>
  <si>
    <t>Hátrasorolt kötelezettségek egyéb részesedési viszonyban álló vállalkozással szemben</t>
  </si>
  <si>
    <t>Bevételek passzív időbeli elhatárolása</t>
  </si>
  <si>
    <t>Összes passzív időbeli elhatárolás</t>
  </si>
  <si>
    <t>Főkönyvi szám / Megnevezés</t>
  </si>
  <si>
    <t>Saját termelésű készletek állomány változása</t>
  </si>
  <si>
    <t>Aktivált saját teljesítmények</t>
  </si>
  <si>
    <t>Ergebnis vor Steuern</t>
  </si>
  <si>
    <t>Adóalap:</t>
  </si>
  <si>
    <t>Adó mértéke:</t>
  </si>
  <si>
    <t>Üzleti évi adókötelezettség:</t>
  </si>
  <si>
    <t>Tax basis:</t>
  </si>
  <si>
    <t>Tax Rate:</t>
  </si>
  <si>
    <t>Tax in the business year:</t>
  </si>
  <si>
    <t>Steuerbasis:</t>
  </si>
  <si>
    <t>Steuermass:</t>
  </si>
  <si>
    <t>Egyéb kapott (járó) kamatok és kamatjellegű bevételek</t>
  </si>
  <si>
    <t>Pénzügyi műveletek egyéb bevételei</t>
  </si>
  <si>
    <t>VIII.</t>
  </si>
  <si>
    <t>Tilgung, Auflösung bzw. Einlösung von langfristig gewährten Darlehen</t>
  </si>
  <si>
    <t>Endgültig erhaltene Geldmittel</t>
  </si>
  <si>
    <t xml:space="preserve">    Beruházásokra adott előlegek</t>
  </si>
  <si>
    <t>Repayment, termination of redemption of long-term loans, bank deposits</t>
  </si>
  <si>
    <t>Céltartalék a jövőbeni költségekre</t>
  </si>
  <si>
    <t>Sonstige finanzielle Aufwendungen</t>
  </si>
  <si>
    <t>Követelések egyéb részesed. viszonyban lévő vállalk-al szemben</t>
  </si>
  <si>
    <t>Finanzaufwendungen</t>
  </si>
  <si>
    <t>Gewinnrücklage</t>
  </si>
  <si>
    <t>Finanzerträge</t>
  </si>
  <si>
    <t>BETRIEBSERGEBNIS (GESCHÄFTSERGEBNIS)</t>
  </si>
  <si>
    <t xml:space="preserve">    davon: Wertverluste</t>
  </si>
  <si>
    <t>Personalaufwendungen</t>
  </si>
  <si>
    <t>Materialaufwendungen</t>
  </si>
  <si>
    <t>III.H.II.1 Az értékesítés nettó árbevétele a létesítő okiratban megjelölt főbb tevékenységenként</t>
  </si>
  <si>
    <t>III.G Passzív időbeli elhatárolás</t>
  </si>
  <si>
    <t>III.A.I-II Immateriális javak, tárgyi eszközök bruttó érték változásának, halmozott értékcsökkenésének, és a tárgyévi értékcsökkenési leírás és a terven felüli értékcsökkenés bemutatása</t>
  </si>
  <si>
    <t>II.E.2 Veszélyes hulladékok, környezetre káros anyagok</t>
  </si>
  <si>
    <t>II.E.3 Környezetvédelemmel kapcsolatos költségek</t>
  </si>
  <si>
    <t xml:space="preserve">II.A.2 Vezető tisztségviselők, az igazgatóság, a felügyelőbizottság tagjaira vonatkozó adatok </t>
  </si>
  <si>
    <t>E Ft</t>
  </si>
  <si>
    <t>I.A.1. A gazdálkodó főbb adatai</t>
  </si>
  <si>
    <t>ZÖLD munkalapok csak ÉVES BESZÁMOLÓ esetén szükségesek</t>
  </si>
  <si>
    <t>N</t>
  </si>
  <si>
    <t>Egyszerűsített beszámoló esetén is szükségesek (I/N)</t>
  </si>
  <si>
    <t>I</t>
  </si>
  <si>
    <t>Entnahmen aus der Gewinnrücklage für Dividenden und Gewinnanteile</t>
  </si>
  <si>
    <t>AUßERORDENTLICHES ERGEBNIS</t>
  </si>
  <si>
    <t>ERGEBNIS DER GEWÖHNLICHEN GESCHÄFTSTÄTIGKEIT</t>
  </si>
  <si>
    <t>FINANZERGEBNIS</t>
  </si>
  <si>
    <t>Nachrangige Verbindlichkeiten</t>
  </si>
  <si>
    <t>Adatot tartalmaz (I/N)</t>
  </si>
  <si>
    <t>Nachrangige Verbindlichkeiten gegen verbundene Unternehmen</t>
  </si>
  <si>
    <t>Nachrangige Verbindlichkeiten gegen Unternehmen in einem sonstigen Beteiligungsverhältnis</t>
  </si>
  <si>
    <t>Subordinated liabilities to other business entities</t>
  </si>
  <si>
    <t>Hátrasorolt kötelezettségek kapcsolt vállalkozással szemben</t>
  </si>
  <si>
    <t>Hátrasorolt köt. egyéb részesed. visz-ban lévő vállalk szemb.</t>
  </si>
  <si>
    <t>Return on issued capital (%)</t>
  </si>
  <si>
    <t>Árbevétel-arányos adózás előtti eredmény (%)</t>
  </si>
  <si>
    <t>Pretax margin (%)</t>
  </si>
  <si>
    <t>Eredménykimutatás E sor</t>
  </si>
  <si>
    <t>Komáromi Távhő Kft</t>
  </si>
  <si>
    <t>Gewinn- und Verlustrechnung nach dem Umsatzkostenverfahren</t>
  </si>
  <si>
    <t>Material expenses</t>
  </si>
  <si>
    <t>Income Statement Line E</t>
  </si>
  <si>
    <t>Sajáttőke-arányos adózás előtti eredmény (%)</t>
  </si>
  <si>
    <t>Pretax profit / Equity (%)</t>
  </si>
  <si>
    <t>Shareholder's equity</t>
  </si>
  <si>
    <t>PROFIT OR LOSS FOR THE YEAR</t>
  </si>
  <si>
    <t>Profit or loss before taxation</t>
  </si>
  <si>
    <t>PROFIT OR LOSS ON OPERATING (TRADING) ACTIVITIES</t>
  </si>
  <si>
    <t>(Balance Sheet Lines No. A/II+B/I opening and closing value)/2</t>
  </si>
  <si>
    <t>(Balance Sheet Lines A+B+C opening + closing value)/2</t>
  </si>
  <si>
    <t>(Balance Sheet Line B/I opening + closing value)/2 x 365</t>
  </si>
  <si>
    <t>(Line B/II/1. opening + closing value)/2 x 365</t>
  </si>
  <si>
    <t>Average value of trade receivables x 365</t>
  </si>
  <si>
    <t>Average value of trade payables x 365</t>
  </si>
  <si>
    <t>Total assets</t>
  </si>
  <si>
    <t xml:space="preserve">     including: impairment losses</t>
  </si>
  <si>
    <t xml:space="preserve">     including: reversal of  impairment losses</t>
  </si>
  <si>
    <t>Tartósan adott kölcsön kapcsolt vállalkozásban</t>
  </si>
  <si>
    <t>Tartósan adott kölcs. egyéb részesed. visz-ban álló vállalk-ban</t>
  </si>
  <si>
    <t>Other long-term loans</t>
  </si>
  <si>
    <t>Securities for investment purposes</t>
  </si>
  <si>
    <t>Dauerhafte Beteiligungen an verbundene Unternehmen</t>
  </si>
  <si>
    <t>Dauerhaft erteilte Ausleihungen an verbundene Unternehmen</t>
  </si>
  <si>
    <t>Sonstige dauerhafte Beteiligungen</t>
  </si>
  <si>
    <t>Dauerhaft erteilte Ausleihungen an Unternehmen in einem sonstigen Beteiligungsverhältnis</t>
  </si>
  <si>
    <t>2. L.A.I munkalapon Az Adatátvétel TESZK programból gombot megnyomni</t>
  </si>
  <si>
    <t>3. I:/ KONYV05/TESZK/Cégnév/KIEG3.DBF-et kell választani</t>
  </si>
  <si>
    <t>4. L.C;L.G munkalapokon részletezni az elhatárolásokat</t>
  </si>
  <si>
    <t>5. B.II és F.III  munkalapokon a több számlás adószámlákat összvezetni</t>
  </si>
  <si>
    <t>6. TAVALYI/NYITÓ adatok felvitele minde leltár munkalapon</t>
  </si>
  <si>
    <t>7. L.D Saját tőke leltárát manuálisan kell kitölteni</t>
  </si>
  <si>
    <t>8. Kerekítéseket elvégezni az összes "L" munkalapon, hogy egyezzen a mérleggel ill. eredmkimutatással</t>
  </si>
  <si>
    <t>Dauerhafte Verbindlichkeiten gegen Unternehmen in einem sonstigen Beteiligungsverhältnis</t>
  </si>
  <si>
    <t>Sonstige langfristige Verbindlichkeiten</t>
  </si>
  <si>
    <t>Non-current liabilities to related enterprises</t>
  </si>
  <si>
    <t xml:space="preserve">     including: from related undertakings</t>
  </si>
  <si>
    <t>EgyszÉvesMérleg"A"</t>
  </si>
  <si>
    <t>Vereinfachtes BILANZ „A”</t>
  </si>
  <si>
    <t>Átlagos vevőállomány x 365</t>
  </si>
  <si>
    <t>Gezahlte (bestätigte) Dividenden und Gewinnanteile</t>
  </si>
  <si>
    <t>III.B.III.1</t>
  </si>
  <si>
    <t>III.B.III.2</t>
  </si>
  <si>
    <t>Tartalomjegyzék</t>
  </si>
  <si>
    <t>Contents</t>
  </si>
  <si>
    <t>Inhaltsverzeichnis</t>
  </si>
  <si>
    <t>(F/III/4 sor nyitó + záró)/2 x 365</t>
  </si>
  <si>
    <t>Eredménykimutatás IV sor</t>
  </si>
  <si>
    <t>Mérleg D sor</t>
  </si>
  <si>
    <t>Az alaptőke jövedelmezősége</t>
  </si>
  <si>
    <t>Eredménykimutatás F sor</t>
  </si>
  <si>
    <t>Mérleg D/I sor</t>
  </si>
  <si>
    <t>Változás</t>
  </si>
  <si>
    <t>Kísérleti fejlesztés aktivált értéke</t>
  </si>
  <si>
    <t>III.H.II.5 A szolgáltatásimport értéke</t>
  </si>
  <si>
    <t>Trade Receivables</t>
  </si>
  <si>
    <t>III.H.II.3 A szolgáltatásexport árbevétele</t>
  </si>
  <si>
    <t>Long-term loans to related enterprises</t>
  </si>
  <si>
    <t>Long-term loan to non-related enterprises</t>
  </si>
  <si>
    <t>Long-term investments in related enterprises</t>
  </si>
  <si>
    <t>Other long-term investments</t>
  </si>
  <si>
    <t>Profit or loss after taxation</t>
  </si>
  <si>
    <t xml:space="preserve">Income Statement Line F </t>
  </si>
  <si>
    <t>Balance Sheet Line D</t>
  </si>
  <si>
    <t>Balance Sheet Line D/I</t>
  </si>
  <si>
    <t>Income Statement Line I</t>
  </si>
  <si>
    <t>FINANCIAL ASSETS</t>
  </si>
  <si>
    <t>CASH AND CASH EQUIVALENTS</t>
  </si>
  <si>
    <t>Prepayments and accrued income</t>
  </si>
  <si>
    <t>Provisions</t>
  </si>
  <si>
    <t>Liabilities</t>
  </si>
  <si>
    <t>Other receivables</t>
  </si>
  <si>
    <t>REVALUATION RESERVE</t>
  </si>
  <si>
    <t>IMMATERIÁLIS  JAVAK</t>
  </si>
  <si>
    <t>TÁRGYI  ESZKÖZÖK</t>
  </si>
  <si>
    <t>ESZKÖZÖK (AKTÍVÁK) ÖSSZESEN</t>
  </si>
  <si>
    <t>A vállalkozás székhelye</t>
  </si>
  <si>
    <t>INTANGIBLE ASSETS</t>
  </si>
  <si>
    <t>Ingatlanok és kapcsolódó vagyoni értékű jogok</t>
  </si>
  <si>
    <t>Egyéb berendezések, felszerelések, járművek</t>
  </si>
  <si>
    <t>Land and buildings, rights to real estates</t>
  </si>
  <si>
    <t>III.H.III Értékvesztések</t>
  </si>
  <si>
    <t>III.H.IV.1 Exporttámogatáshoz kapcsolódó közvetlen költségek</t>
  </si>
  <si>
    <t>1. TESZK rendszerben/Kimutatások/Kiegészítő melléklet menüben</t>
  </si>
  <si>
    <t>2. A kieg3, kieg4, kieg5 kiválaszt, listát nem kér</t>
  </si>
  <si>
    <t>I. Adatátvétel főkönyvből</t>
  </si>
  <si>
    <t>TESZK</t>
  </si>
  <si>
    <t>FŐKÖNYV</t>
  </si>
  <si>
    <t>Nyomtatóválasztásnál "N" betűt nyomni</t>
  </si>
  <si>
    <t>III._BESZÁMOLÓ 2005</t>
  </si>
  <si>
    <t>1. "Éves" munkalapon Tárgyévi adatok átvétele</t>
  </si>
  <si>
    <t>2. Azon táblázatok kitöltése, amelyet jelöltük a "Tartalom" munkalapon, hogy jellemző a cégre</t>
  </si>
  <si>
    <t>A következő munkalapokba a leltárból kerülnek az adatok</t>
  </si>
  <si>
    <t>A többi kiegészítő melléklet munkalapot manuálisan kell kitölteni.</t>
  </si>
  <si>
    <t>B. Leltár összeállítás</t>
  </si>
  <si>
    <t>C. Kiegészítő melléklet összeállítás</t>
  </si>
  <si>
    <t>A. Az "Általános" munkalap kitöltése az általános cégadatokkal</t>
  </si>
  <si>
    <t>ÜZEMI (ÜZLETI) TEVÉKENYSÉG EREDMÉNYE</t>
  </si>
  <si>
    <t>Geschäftsführer</t>
  </si>
  <si>
    <t>Vevőktől kapott előlegek</t>
  </si>
  <si>
    <t>Váltótartozások</t>
  </si>
  <si>
    <t>Änderung der passiven Rechnungsabgrenzungsposten</t>
  </si>
  <si>
    <t>Änderung der Käuferforderungen</t>
  </si>
  <si>
    <t>Änderung des Umlaufvermögens (ohne Käufer und liquide Mittel)</t>
  </si>
  <si>
    <t>I.A.2 Külföldi gazdálkodásból származó</t>
  </si>
  <si>
    <t>Értékpapírok</t>
  </si>
  <si>
    <t xml:space="preserve">    Cash in hand</t>
  </si>
  <si>
    <t xml:space="preserve">    Cash at bank</t>
  </si>
  <si>
    <t>Megnevezés</t>
  </si>
  <si>
    <t xml:space="preserve"> </t>
  </si>
  <si>
    <t>Tőketartalék</t>
  </si>
  <si>
    <t>Eredménytartalék</t>
  </si>
  <si>
    <t>Lekötött tartalék</t>
  </si>
  <si>
    <t>Értékelési tartalék</t>
  </si>
  <si>
    <t>Mérleg szerinti eredmény</t>
  </si>
  <si>
    <t>über Vereinfachter Jahresbericht</t>
  </si>
  <si>
    <t>Mérleg</t>
  </si>
  <si>
    <t>B</t>
  </si>
  <si>
    <t>Készletek</t>
  </si>
  <si>
    <t>Követelések</t>
  </si>
  <si>
    <t>Egyszerűsített éves beszámolójának vizsgálatáról</t>
  </si>
  <si>
    <t>Pénzügyi leltár</t>
  </si>
  <si>
    <t>Vevők</t>
  </si>
  <si>
    <t xml:space="preserve">Összeg Devizában </t>
  </si>
  <si>
    <t>Árfolyam</t>
  </si>
  <si>
    <t>Vagyoni helyzet mutatóinak alakulása</t>
  </si>
  <si>
    <t>Mut. Vagy.h.</t>
  </si>
  <si>
    <t>Mut. Pénz.</t>
  </si>
  <si>
    <t>Mut. Jöv.</t>
  </si>
  <si>
    <t>A mutató értéke</t>
  </si>
  <si>
    <t>Abszolút változás az előző évhez viszonyítva</t>
  </si>
  <si>
    <t>86.§ 8) egysz.nem kell</t>
  </si>
  <si>
    <t>Concerning Simplified Financial Statements</t>
  </si>
  <si>
    <t>Jahresbericht</t>
  </si>
  <si>
    <t>Vereinfachtes Jahresbericht</t>
  </si>
  <si>
    <t>Concerning Financial Statements</t>
  </si>
  <si>
    <t>über Jahresbericht</t>
  </si>
  <si>
    <t>Éves Beszámoló</t>
  </si>
  <si>
    <t>vállalakozás vezetője</t>
  </si>
  <si>
    <t>Előző év fordulónap</t>
  </si>
  <si>
    <t>Firmenregisternummer</t>
  </si>
  <si>
    <t>Num. des ZSB</t>
  </si>
  <si>
    <t>Steuernummer</t>
  </si>
  <si>
    <t>Company Registry Number</t>
  </si>
  <si>
    <t>Tax Identificaton Number</t>
  </si>
  <si>
    <t>Company Seat</t>
  </si>
  <si>
    <t>Zentrale</t>
  </si>
  <si>
    <t>Elszámolt értékvesztés és visszaírás</t>
  </si>
  <si>
    <t>Raw materials</t>
  </si>
  <si>
    <t>Work in progress</t>
  </si>
  <si>
    <t>Animals for fattening, other livestock</t>
  </si>
  <si>
    <t>Finished Goods</t>
  </si>
  <si>
    <t>Goods for Resale</t>
  </si>
  <si>
    <t>Advances and prepayments on inventories</t>
  </si>
  <si>
    <t>Sajáttőke-arányos adózott eredmény (ROE) (%)</t>
  </si>
  <si>
    <t>Return on equity (ROE) (%)</t>
  </si>
  <si>
    <t>Änderung der Lieferantenschulden</t>
  </si>
  <si>
    <t>II. Merleg_leltar.xls használata- csak egyedül megy</t>
  </si>
  <si>
    <t>Megjegyzések</t>
  </si>
  <si>
    <t>4. B.II és F.III  munkalapokon a több számlás adószámlákat összvezetni</t>
  </si>
  <si>
    <t>Pl. csak 1 SZJA, ÁFA, Nybizt, stb. sor legyen</t>
  </si>
  <si>
    <t>5. TAVALYI/NYITÓ adatok felvitele minde leltár munkalapon</t>
  </si>
  <si>
    <t>6. L.D Saját tőke leltárát manuálisan kell kitölteni</t>
  </si>
  <si>
    <t>3. L.C;L.G munkalapokon részletezni az elhatárolásokat</t>
  </si>
  <si>
    <t>7. Kerekítéseket elvégezni az összes "L" munkalapon, hogy egyezzen a mérleggel ill. eredmkimutatással</t>
  </si>
  <si>
    <t>III.H.V.1. Az aktivált saját teljesítmények értékének részletezése (forgalmi költség eljárás esetén)</t>
  </si>
  <si>
    <t>3. Az adatáramlás folyamatára a mellékelt táblázat ad segítséget</t>
  </si>
  <si>
    <t>Investment cash-flow (14-16.)</t>
  </si>
  <si>
    <t>Cash-Flow aus der Anlagetätigkeit (14-16.)</t>
  </si>
  <si>
    <t>Purchase of invested assets</t>
  </si>
  <si>
    <t>Sale of invested assets</t>
  </si>
  <si>
    <t>Anschaffung von Anlagevermögen</t>
  </si>
  <si>
    <t>Verkauf von Anlagevermögen</t>
  </si>
  <si>
    <t>Financial cash-flow (17-27.)</t>
  </si>
  <si>
    <t>Cash-Flow aus Finanzgeschäften (17-27.)</t>
  </si>
  <si>
    <t>Variation in liquid due to financial transactions</t>
  </si>
  <si>
    <t>Variation in liquid assets due to investment activities</t>
  </si>
  <si>
    <t xml:space="preserve">Änderung der liquiden Mittel wegen der Investmentstätigkeit </t>
  </si>
  <si>
    <t>III.H.VI.1. A tárgyévben lezárt határidős, opciós ügyletek, valamint swap ügyletek eredménye és cash-flowra gyakorolt hatásai  tőzsdén, illetve tőzsdén kívül kötött ügylet részletezésben</t>
  </si>
  <si>
    <t>d</t>
  </si>
  <si>
    <t>e</t>
  </si>
  <si>
    <t>01.</t>
  </si>
  <si>
    <t>02.</t>
  </si>
  <si>
    <t>03.</t>
  </si>
  <si>
    <t>04.</t>
  </si>
  <si>
    <t>05.</t>
  </si>
  <si>
    <t>06.</t>
  </si>
  <si>
    <t>07.</t>
  </si>
  <si>
    <t>08.</t>
  </si>
  <si>
    <t>09.</t>
  </si>
  <si>
    <t>10.</t>
  </si>
  <si>
    <t>11.</t>
  </si>
  <si>
    <t>12.</t>
  </si>
  <si>
    <t>B/IV sor</t>
  </si>
  <si>
    <t>F/III sor</t>
  </si>
  <si>
    <t>Provisions for expected liabilities</t>
  </si>
  <si>
    <t>Provisions for future expenses</t>
  </si>
  <si>
    <t>Other provisions</t>
  </si>
  <si>
    <t xml:space="preserve">   54.sorból:visszavásárolt tulajdonosi részesedés névértéken</t>
  </si>
  <si>
    <t xml:space="preserve">   including: ownership shares repurchased at face value</t>
  </si>
  <si>
    <t xml:space="preserve">   davon: zurückgekaufter Eigentumsanteil zum Nennwert</t>
  </si>
  <si>
    <t xml:space="preserve">    davon: zurückgekaufter Eigentumsanteil zum Nennwert</t>
  </si>
  <si>
    <t xml:space="preserve">      including: ownership shares repurchased at face value</t>
  </si>
  <si>
    <t xml:space="preserve">    16. sorból:a) visszavásárolt tulajdonosi részesedés névértéken</t>
  </si>
  <si>
    <t>Hátrasorolt és hosszú lejáratú kötelezettségek</t>
  </si>
  <si>
    <t>Nachrangige und Langfristige Verbindlichkeiten</t>
  </si>
  <si>
    <t>Subordinated and long-term liabilities</t>
  </si>
  <si>
    <t>Shareholders' equity and long-term liabilities</t>
  </si>
  <si>
    <t>Eigenkapital und Langfristige Verbindlichkeiten</t>
  </si>
  <si>
    <t>F/I+F/II Reihe</t>
  </si>
  <si>
    <t>D+F/I+F/II Reihe</t>
  </si>
  <si>
    <t>A mutató felső határa a világbank szerint 33 % lehet.</t>
  </si>
  <si>
    <t>According to World Bank this index should be lower then 33%.</t>
  </si>
  <si>
    <t>A világbank követelménye minimum 1,3.                    A magyar kereskedelmi bankok 1,7 minimum értéket fogadnak el.</t>
  </si>
  <si>
    <t>(Line B/II. opening + closing value)/2 x 365</t>
  </si>
  <si>
    <t>Project cost capitalized</t>
  </si>
  <si>
    <t>Összesen:</t>
  </si>
  <si>
    <t>Nyitó</t>
  </si>
  <si>
    <t>Növekedés</t>
  </si>
  <si>
    <t>Csökkenés</t>
  </si>
  <si>
    <t>Bekerülési érték</t>
  </si>
  <si>
    <t>MAGYAR</t>
  </si>
  <si>
    <t>ANGOL</t>
  </si>
  <si>
    <t>NÉMET</t>
  </si>
  <si>
    <t>DETAILS TO</t>
  </si>
  <si>
    <t>DETAILRIUNG</t>
  </si>
  <si>
    <t>INDEPENDENT AUDITOR'S REPORT</t>
  </si>
  <si>
    <t>FREI AUDIT REPORT</t>
  </si>
  <si>
    <t>MUNKALAP</t>
  </si>
  <si>
    <t>Könyvborító</t>
  </si>
  <si>
    <t>RÉSZLETEZÉS A</t>
  </si>
  <si>
    <t>. évi</t>
  </si>
  <si>
    <t xml:space="preserve">for the year </t>
  </si>
  <si>
    <t>Éves beszámolójának vizsgálatáról</t>
  </si>
  <si>
    <t>D.III. TŐKETARTALÉK</t>
  </si>
  <si>
    <t>Összeg Ft-ban</t>
  </si>
  <si>
    <t>L.B.IV Pénzeszközök</t>
  </si>
  <si>
    <t>L.B.III Értékpapírok</t>
  </si>
  <si>
    <t>L.B.I Készletek</t>
  </si>
  <si>
    <t>Mérleg összeállítás időpontja</t>
  </si>
  <si>
    <t>I.B.6 A beszámoló fontosabb időpontjai</t>
  </si>
  <si>
    <t>I.B.7 Az számviteli alapelvektől való eltérés:</t>
  </si>
  <si>
    <t>%-os változás az előző évhez viszonyítva</t>
  </si>
  <si>
    <t>A mutató értéke minél nagyobb, annál kedvezőbb a növekmény és az induló tőke aránya.</t>
  </si>
  <si>
    <t>L.B.II Követelések</t>
  </si>
  <si>
    <t>Jegyzett, de be nem fizetett tőke</t>
  </si>
  <si>
    <t>Eredmény-tartalék</t>
  </si>
  <si>
    <t>Nyitóállomány az év elején</t>
  </si>
  <si>
    <t>D.I. JEGYZETT TŐKE</t>
  </si>
  <si>
    <t>növekedés:</t>
  </si>
  <si>
    <t>tőkeemelés (nem a saját tőke elemeinek terhére)</t>
  </si>
  <si>
    <t>tőkeemelés a tőketartalék terhére</t>
  </si>
  <si>
    <t>tőkeemelés az eredménytartalék terhére</t>
  </si>
  <si>
    <t>Plant and machinery, vehicles</t>
  </si>
  <si>
    <t>Other equipment, fixtures and fittings, vehicles</t>
  </si>
  <si>
    <t>Breeding stock</t>
  </si>
  <si>
    <t>SÚGÓ</t>
  </si>
  <si>
    <t>Céltartalékok</t>
  </si>
  <si>
    <t>Hátrasorolt kötelezettségek</t>
  </si>
  <si>
    <t>Hosszú lejáratú kötelezettségek</t>
  </si>
  <si>
    <t>Adózás előtti eredmény</t>
  </si>
  <si>
    <t>Adózott eredmény</t>
  </si>
  <si>
    <t>sz. kimutatás</t>
  </si>
  <si>
    <t>Tartalom</t>
  </si>
  <si>
    <t>Nyereség-visszaforgatás aránya (%)</t>
  </si>
  <si>
    <t>Reinvested profit / Equity (%)</t>
  </si>
  <si>
    <t>Profit or loss for the year</t>
  </si>
  <si>
    <t>Bilanzergebnis</t>
  </si>
  <si>
    <t>Eredménykimutatás G sor</t>
  </si>
  <si>
    <t>Income Statement Line G</t>
  </si>
  <si>
    <t xml:space="preserve">    Alapítás-átszervezés aktivált értéke</t>
  </si>
  <si>
    <t xml:space="preserve">    Kísérleti fejlesztés aktivált értéke</t>
  </si>
  <si>
    <t xml:space="preserve">    Vagyoni értékű jogok</t>
  </si>
  <si>
    <t xml:space="preserve">    Szellemi termékek</t>
  </si>
  <si>
    <t xml:space="preserve">    Üzleti vagy cégérték</t>
  </si>
  <si>
    <t xml:space="preserve">    Immateriális javakra adott előlegek</t>
  </si>
  <si>
    <t>Befektetett pénzügyi eszközök árfolyamvesztesége</t>
  </si>
  <si>
    <t xml:space="preserve">     18. sorból: kapcsolt vállalkozásnak adott</t>
  </si>
  <si>
    <t>Fizetendő kamatok és kamatjellegű ráfordítások</t>
  </si>
  <si>
    <t>a tőkekivonással megvalósított jegyzett tőke leszállításához kapcsolódó - a jegyzett tőke leszállításával arányos - tőketartalék-kivonás összege</t>
  </si>
  <si>
    <t>Dividends and profit distribution (received or due)</t>
  </si>
  <si>
    <t>Statistical Number</t>
  </si>
  <si>
    <t>Income Statement  “By Nature”  format</t>
  </si>
  <si>
    <t>Financial Statements</t>
  </si>
  <si>
    <t>Date:</t>
  </si>
  <si>
    <t>(Representative)</t>
  </si>
  <si>
    <t xml:space="preserve">     19. sorból: kapcsolt vállalkozásnak adott</t>
  </si>
  <si>
    <t>Részesedések, értékpapírok, bankbetétek értékvesztése</t>
  </si>
  <si>
    <t>Pénzügyi műveletek egyéb ráfordításai</t>
  </si>
  <si>
    <t>IX.</t>
  </si>
  <si>
    <t>B.</t>
  </si>
  <si>
    <t>C.</t>
  </si>
  <si>
    <t>X.</t>
  </si>
  <si>
    <t>Rendkívüli bevételek</t>
  </si>
  <si>
    <t>XI.</t>
  </si>
  <si>
    <t>Rendkívüli ráfordítások</t>
  </si>
  <si>
    <t>D.</t>
  </si>
  <si>
    <t>E.</t>
  </si>
  <si>
    <t>XII.</t>
  </si>
  <si>
    <t>Adófizetési kötelezettség</t>
  </si>
  <si>
    <t>F.</t>
  </si>
  <si>
    <t>Eredménytartalék igénybevétele osztalékra, részesedésre</t>
  </si>
  <si>
    <t>Fizetett (jóváhagyott) osztalék és részesedés</t>
  </si>
  <si>
    <t>G.</t>
  </si>
  <si>
    <t xml:space="preserve">      including: revaluation of tangible assets</t>
  </si>
  <si>
    <t xml:space="preserve">    davon: Wertberichtigung der Sachanlagen</t>
  </si>
  <si>
    <t xml:space="preserve">    davon: Wertberichtigung der immateriellen Vermögensgegenstände</t>
  </si>
  <si>
    <t xml:space="preserve">    davon: Wertberichtigung der Finanzanlagen</t>
  </si>
  <si>
    <t>EgyszÉvesEredmÖsszktsg"A"</t>
  </si>
  <si>
    <t>Forgalmi költség eljárással készített eredménykimutatás</t>
  </si>
  <si>
    <t>Simplified BALANCE SHEET – version „A”</t>
  </si>
  <si>
    <t>Igazgatási költségek</t>
  </si>
  <si>
    <t>Egyéb általános költségek</t>
  </si>
  <si>
    <t xml:space="preserve">     09. sorból: kapcsolt vállalkozástól kapott</t>
  </si>
  <si>
    <t xml:space="preserve">     14. sorból: kapcsolt vállalkozásnak adott</t>
  </si>
  <si>
    <t xml:space="preserve">     15. sorból: kapcsolt vállalkozásnak adott</t>
  </si>
  <si>
    <t>Egyszerűsített éves beszámoló</t>
  </si>
  <si>
    <t>Egyszerűsített éves beszámoló MÉRLEGE "A" változat</t>
  </si>
  <si>
    <t>.</t>
  </si>
  <si>
    <t>1.</t>
  </si>
  <si>
    <t>2.</t>
  </si>
  <si>
    <t>3.</t>
  </si>
  <si>
    <t xml:space="preserve">      2.sorból:Immateriális javak értékhelyesbítése</t>
  </si>
  <si>
    <t>4.</t>
  </si>
  <si>
    <t>5.</t>
  </si>
  <si>
    <t xml:space="preserve">      4.sorból:Tárgyi eszközök értékhelyesbítése</t>
  </si>
  <si>
    <t>6.</t>
  </si>
  <si>
    <t>7.</t>
  </si>
  <si>
    <t xml:space="preserve">      6.sorból:Befektetett pénzügyi eszközök értékhelyesbítése</t>
  </si>
  <si>
    <t>8.</t>
  </si>
  <si>
    <t>9.</t>
  </si>
  <si>
    <t>B/IV Reihe</t>
  </si>
  <si>
    <t>F/III Reihe</t>
  </si>
  <si>
    <t>Other operating expenses</t>
  </si>
  <si>
    <t>Disclosed information is verified by auditor</t>
  </si>
  <si>
    <t>Disclosed information is not verified by auditor</t>
  </si>
  <si>
    <t>Depreciation and amortisation</t>
  </si>
  <si>
    <t>Capital gains on investments</t>
  </si>
  <si>
    <t>Interest and capital gains on financial assets</t>
  </si>
  <si>
    <t>Other interest and similar income (received or due)</t>
  </si>
  <si>
    <t>Other income from financial transactions</t>
  </si>
  <si>
    <t>Losses on financial assets</t>
  </si>
  <si>
    <t>az eredménytartalék lekötött tartalékba átvezetett összege</t>
  </si>
  <si>
    <t>L.E</t>
  </si>
  <si>
    <t>L.A.III</t>
  </si>
  <si>
    <t xml:space="preserve">    including: convertible bonds</t>
  </si>
  <si>
    <t>Jung-, Mast- und sonstige Tiere</t>
  </si>
  <si>
    <t>Fertige Erzeugnisse</t>
  </si>
  <si>
    <t>Waren</t>
  </si>
  <si>
    <t>Geleistete Anzahlungen auf Vorräte</t>
  </si>
  <si>
    <t>Line D</t>
  </si>
  <si>
    <t>Lines D+E+F+G</t>
  </si>
  <si>
    <t>Non-current assets</t>
  </si>
  <si>
    <t>Assets turnover</t>
  </si>
  <si>
    <t>Tangible assets + average value of inventories</t>
  </si>
  <si>
    <t>Cover of Non-current assets (Coverage I.)</t>
  </si>
  <si>
    <t>TANGIBLE ASSETS</t>
  </si>
  <si>
    <t>Cover of Non-current assets (Coverage II.)</t>
  </si>
  <si>
    <t>Pénzügyi műveletekből származó pénzeszköz-változás</t>
  </si>
  <si>
    <t>Line D/I</t>
  </si>
  <si>
    <t>Inventories</t>
  </si>
  <si>
    <t>Receivables</t>
  </si>
  <si>
    <t>Capital Reserve</t>
  </si>
  <si>
    <t>Retained Earnings</t>
  </si>
  <si>
    <t>Tied-up Reserve</t>
  </si>
  <si>
    <t>Subordinated Liabilities</t>
  </si>
  <si>
    <t>Non-current Liabilities</t>
  </si>
  <si>
    <t>Current Liabilities</t>
  </si>
  <si>
    <t>Cover of  total assets</t>
  </si>
  <si>
    <t>Index Value</t>
  </si>
  <si>
    <t>II.F Mérlegen kívüli tételek</t>
  </si>
  <si>
    <t>Grundstücke und Gebäude sowie die damit verbundenen verkehrsfähigen Rechte</t>
  </si>
  <si>
    <t>L.H.I-VII. Üzemi (üzleti) tevékenység eredménye (forgalmi költséges)</t>
  </si>
  <si>
    <t>A beszámoló aláírásáért felelős személy nyilvános adatai:</t>
  </si>
  <si>
    <t>Beosztás:</t>
  </si>
  <si>
    <t>Company Name</t>
  </si>
  <si>
    <t>Benennung der Gesellschaft</t>
  </si>
  <si>
    <t>Securities</t>
  </si>
  <si>
    <t>Wertpapiere</t>
  </si>
  <si>
    <t xml:space="preserve">  Gründungs- und Umstrukturierungskosten</t>
  </si>
  <si>
    <t xml:space="preserve">  Forschungs- und Entwicklungskosten</t>
  </si>
  <si>
    <t xml:space="preserve">  Verkehrsfähige Rechte</t>
  </si>
  <si>
    <t xml:space="preserve">  Geistiges Eigentum</t>
  </si>
  <si>
    <t xml:space="preserve">  Geschäfts- oder Firmenwert</t>
  </si>
  <si>
    <t>Céltartalékok összesen</t>
  </si>
  <si>
    <t>L.D. Saját tőke változása</t>
  </si>
  <si>
    <t>L.C. Aktív időbeli elhatárolások</t>
  </si>
  <si>
    <t>L.E. Céltartalékok</t>
  </si>
  <si>
    <t>L.F.I. Hátrasorolt kötelezettségek</t>
  </si>
  <si>
    <t>Hátrasorolt kötelezettségek összesen</t>
  </si>
  <si>
    <t>L.F.II. Hosszú lejáratú kötelezettségek</t>
  </si>
  <si>
    <t>Hosszú lejáratú kötelezettségek összesen</t>
  </si>
  <si>
    <t>L.F.III. Rövid lejáratú kötelezettségek</t>
  </si>
  <si>
    <t>Rövid lejáratú kötelezettségek összesen</t>
  </si>
  <si>
    <t>L.G. Passzív időbeli elhatárolások</t>
  </si>
  <si>
    <t>Egyéb berendezések és felszerelések</t>
  </si>
  <si>
    <t>Beruházásra adott előlegek</t>
  </si>
  <si>
    <t>Bruttó érték</t>
  </si>
  <si>
    <t>Tervszerinti értékcsökkenés</t>
  </si>
  <si>
    <t>Terven felüli értékcsökkenés, értékvesztés</t>
  </si>
  <si>
    <t>L.A.III Befektetett pénzügyi eszközök</t>
  </si>
  <si>
    <t>L.A.II Tárgyi eszközök</t>
  </si>
  <si>
    <t>Kerekítési különbözet módosítása</t>
  </si>
  <si>
    <t>Mérlegérték</t>
  </si>
  <si>
    <t>Kerekítés (E Ft-ra)</t>
  </si>
  <si>
    <t>Anhand des Buchprüferberichtes stimme ich zu</t>
  </si>
  <si>
    <t>Anhand des Buchprüferberichtes stimme ich nicht zu</t>
  </si>
  <si>
    <t>Disclosed information is not confirmed by auditor</t>
  </si>
  <si>
    <t>a pénzmozgással, illetve az eszközmozgással egyidejűleg a jogszabály alapján tőketartalékba helyezett pénzeszközök, átvett eszközök értéke</t>
  </si>
  <si>
    <t>egyéb</t>
  </si>
  <si>
    <t>a jegyzett tőke emelése a szabad tőketartalékból</t>
  </si>
  <si>
    <t>a veszteség miatti negatív eredménytartalék ellentételezésére felhasznált összeg</t>
  </si>
  <si>
    <t>L.A.I Immateriális javak</t>
  </si>
  <si>
    <t>Alapítás átszervezés aktivált értéke</t>
  </si>
  <si>
    <t xml:space="preserve">Vagyoni értékű jogok </t>
  </si>
  <si>
    <t xml:space="preserve">Üzleti vagy cégérték </t>
  </si>
  <si>
    <t xml:space="preserve">    Immateriális javak értékhelyesbítése</t>
  </si>
  <si>
    <t>Forgatási célú, hitelviszonyt megtestesítő értékpapírok</t>
  </si>
  <si>
    <t>Követelések összesen</t>
  </si>
  <si>
    <t>A/III/2. Tartósan adott kölcsön kapcsolt vállalkozásban</t>
  </si>
  <si>
    <t>F/I/1. Hátrasorolt kötelezettségek kapcsolt vállalkozással szemben</t>
  </si>
  <si>
    <t>F/III/6. Rövid lejáratú kötelezettségek kapcsolt vállalkozással szemben</t>
  </si>
  <si>
    <t>F/II/6. Tartós kötelezettségek kapcsolt vállalkozással szemben</t>
  </si>
  <si>
    <t>Kapcsolt vállalkozásokkal szemben összesen</t>
  </si>
  <si>
    <t>I. Értékesítés nettó árbevétele</t>
  </si>
  <si>
    <t>V. Egyéb bevételek</t>
  </si>
  <si>
    <t>IX. Rendkívüli bevételekből között kimutatott halasztott bevételek</t>
  </si>
  <si>
    <t>az előző üzleti év mérleg szerinti nyeresége</t>
  </si>
  <si>
    <t xml:space="preserve">Várható kötelezettségekre, költségekre képzett céltartalék felhasználása miatt adóévben bevételként elszámolt összege  </t>
  </si>
  <si>
    <t>a gazdasági társaság tulajdonosánál (tagjánál) a veszteség pótlásához nem szükséges - korábban ilyen címen adott - pótbefizetés visszakapott összege a pénzmozgással egyidejűleg</t>
  </si>
  <si>
    <t>az eredménytartalékból lekötött tartalék visszavezetett összege a lekötés feloldása alapján</t>
  </si>
  <si>
    <t>a pénzmozgással, illetve az eszközmozgással egyidejűleg a jogszabály alapján eredménytartalékba helyezett pénzeszközök, átvett eszközök értéke</t>
  </si>
  <si>
    <t>az előző üzleti év mérleg szerinti vesztesége</t>
  </si>
  <si>
    <t>az ellenőrzés előző év(ek) mérleg szerinti eredményét csökkentő módosítása (vesztesége)</t>
  </si>
  <si>
    <t>a jegyzett tőke emelése a rendelkezésre álló szabad eredménytartalékból</t>
  </si>
  <si>
    <t xml:space="preserve">A számviteli törvény szerint elszámolt:  </t>
  </si>
  <si>
    <t xml:space="preserve"> - terv szerinti értékcsökkenés</t>
  </si>
  <si>
    <t xml:space="preserve"> - terven felüli értékcsökkenés,</t>
  </si>
  <si>
    <t xml:space="preserve"> - tárgyi eszköz állományból kivezetett, átsorolt eszköz könyv szerinti értéke </t>
  </si>
  <si>
    <t xml:space="preserve">Elengedett - előző években adóalapot növelő tételként beállított - bírság, késedelmi kamat </t>
  </si>
  <si>
    <t xml:space="preserve">Követelésre elszámolt értékvesztés </t>
  </si>
  <si>
    <t>(...-19%) - egyéb vállalkozás</t>
  </si>
  <si>
    <t>(20%-50%) - jelentős 25% felett társult vállalkozás</t>
  </si>
  <si>
    <t>Tulajdonosok neve</t>
  </si>
  <si>
    <t>(20%-25%)  - kapcsolt vállalkozás</t>
  </si>
  <si>
    <t>(...-19%)  - egyéb vállalkozás</t>
  </si>
  <si>
    <t>Összesen</t>
  </si>
  <si>
    <t>I.A. A vállalkozás bemutatása</t>
  </si>
  <si>
    <t>I.B. A számviteli politika fő vonásai</t>
  </si>
  <si>
    <t>I.B.1 Értékelési eljárások, módszerek</t>
  </si>
  <si>
    <t>I.B.2 A vállalkozás nem él a valós értékelés lehetőségével, ezért Mérleg és az Eredménykimutatás nem tartalmazza az alábbi sorokat:</t>
  </si>
  <si>
    <t>I.B.3  Az amortizációs politika</t>
  </si>
  <si>
    <t>I.B.4 Az értékvesztések elszámolásának, illetve visszaírásának esetei:</t>
  </si>
  <si>
    <t>I.B.5 Lényeges és jelentős tételek</t>
  </si>
  <si>
    <t>A forintban meglévő pénzeszközök könyv szerinti értéken, a devizában, valutában meglévő pénzeszközök XII. 31.-i MNB árfolyamra átszámított könyv szerinti értéken kerülnek meghatározásra.</t>
  </si>
  <si>
    <t>6. Aktív időbeli elhatárolások:</t>
  </si>
  <si>
    <t>Könyv szerinti értéken kerülnek meghatározásra.</t>
  </si>
  <si>
    <t>Források</t>
  </si>
  <si>
    <t>Bekerülési értéken (könyv szerinti értéken) kerül meghatározásra.</t>
  </si>
  <si>
    <t>Vállalkozásunk a kötelező céltartalékot könyv szerinti értéken mutatja ki.</t>
  </si>
  <si>
    <t>I.B.4. Olyan részvény, üzletrész névértékének bemutatása, amelyet maga az anyavállalat, leányvállalata vagy olyan harmadik személy birtokol, aki a tulajdonosi jogokat saját nevében, de ezen vállalatok javára gyakorolja</t>
  </si>
  <si>
    <t>II.C Adózott eredmény levezetése</t>
  </si>
  <si>
    <t>II.E Környezetvédelem</t>
  </si>
  <si>
    <t>Cash and cash equivalents</t>
  </si>
  <si>
    <t>Line B/IV</t>
  </si>
  <si>
    <t>Line F/III</t>
  </si>
  <si>
    <t>Lines F/I+F/II</t>
  </si>
  <si>
    <t>Név :</t>
  </si>
  <si>
    <t>nincs</t>
  </si>
  <si>
    <t>van</t>
  </si>
  <si>
    <t>Követelésre elszámolt értékvesztés adótv.-ben elismert mértéke</t>
  </si>
  <si>
    <t>Jogcímei</t>
  </si>
  <si>
    <t>Anyavállalati</t>
  </si>
  <si>
    <t>Leányvállalati</t>
  </si>
  <si>
    <t>Tőke tartalék</t>
  </si>
  <si>
    <t>Eredmény tartalék</t>
  </si>
  <si>
    <t>B/III.    5. Értékpapírok értékelési különbözete</t>
  </si>
  <si>
    <t>D/VI.    Értékelési tartalék</t>
  </si>
  <si>
    <t xml:space="preserve">           1. Értékhelyesbítés értékelési tartaléka</t>
  </si>
  <si>
    <t xml:space="preserve">           2. Valós értékelés értékelési tartaléka</t>
  </si>
  <si>
    <t>F/III.     9. Kötelezettségek értékelési különbözete</t>
  </si>
  <si>
    <t>Previous year(s) adjustments</t>
  </si>
  <si>
    <t xml:space="preserve">    Advances and prepayments on tangible assets</t>
  </si>
  <si>
    <t xml:space="preserve">    Capitalized value of research and development</t>
  </si>
  <si>
    <t xml:space="preserve">    Intellectual property</t>
  </si>
  <si>
    <t xml:space="preserve">    Goodwill</t>
  </si>
  <si>
    <t xml:space="preserve">    Advances and prepayments on intangible assets</t>
  </si>
  <si>
    <t xml:space="preserve">für das Geschäftsjahr </t>
  </si>
  <si>
    <t>Vállalkozásunk képviseletére jogusultak, és az éves beszámolót aláírni kötelesek</t>
  </si>
  <si>
    <t>Neve:</t>
  </si>
  <si>
    <t>Lakóhelye:</t>
  </si>
  <si>
    <t>Fizikai</t>
  </si>
  <si>
    <t>Szellemi</t>
  </si>
  <si>
    <t>Átlagos statisztikai létszáma (fő)</t>
  </si>
  <si>
    <t>Bérköltsége (E Ft)</t>
  </si>
  <si>
    <t>Személyi jellegű egyéb kifizetései (E Ft)</t>
  </si>
  <si>
    <t>Üzleti év utáni járandósága</t>
  </si>
  <si>
    <t>Folyósított előlege/kölcsön</t>
  </si>
  <si>
    <t>Kamata</t>
  </si>
  <si>
    <t>Vissza -fizetett összeg</t>
  </si>
  <si>
    <t>Vissza - fizetés feltételei</t>
  </si>
  <si>
    <t>Nevükben vállalat garanciák</t>
  </si>
  <si>
    <t>Vezető tisztségviselők</t>
  </si>
  <si>
    <t>Igazgatóság</t>
  </si>
  <si>
    <t>Felügyelő bizottság</t>
  </si>
  <si>
    <t>Területei</t>
  </si>
  <si>
    <t>Okai</t>
  </si>
  <si>
    <t>Hatásai</t>
  </si>
  <si>
    <t>Vagyonra</t>
  </si>
  <si>
    <t>Eredményre</t>
  </si>
  <si>
    <t>Abszolút változás</t>
  </si>
  <si>
    <t>Változás %-ban</t>
  </si>
  <si>
    <t>Vagyoni helyzet vizsgálata</t>
  </si>
  <si>
    <t>Net external sales</t>
  </si>
  <si>
    <t>Cost of raw materials</t>
  </si>
  <si>
    <t>Cost of services</t>
  </si>
  <si>
    <t>Cost of other service activities</t>
  </si>
  <si>
    <t>Cost of goods sold</t>
  </si>
  <si>
    <t>Cost of intermediated services</t>
  </si>
  <si>
    <t xml:space="preserve">Az iparűzési adóból az adóévben elimert levonható mérték  </t>
  </si>
  <si>
    <t xml:space="preserve">Kis és középvállalkozások által igénybe vett beruházási kedvezmény </t>
  </si>
  <si>
    <t>Kapcsolt vállalatok között a piaci ár és az ellenérték különbsége</t>
  </si>
  <si>
    <t xml:space="preserve">Nem a vállalkozás érdekében ráfordításként elszámolt összeg: </t>
  </si>
  <si>
    <t xml:space="preserve">Egyéb adóalapot növelő tételek </t>
  </si>
  <si>
    <t xml:space="preserve">Egyéb adóalapot csökkentő tételek </t>
  </si>
  <si>
    <t xml:space="preserve">Adózás alapját növelő tételek összesen  </t>
  </si>
  <si>
    <t xml:space="preserve">Adózás alapját csökkentő tételek összesen  </t>
  </si>
  <si>
    <t>(51%-75%) - kapcsolt vállalkozás többségi, közvetlen irányítással- anyavállalat</t>
  </si>
  <si>
    <t>Anyavállalat befektetései</t>
  </si>
  <si>
    <t>Anyavállalat leányvállalatainak befektetései</t>
  </si>
  <si>
    <t>Harmadik személyek befektetései, akik a tulajdonosi jogokat az anya- és/vagy leányvállalatai javára gyakorolják</t>
  </si>
  <si>
    <t>Befektett eszköz megnevezése</t>
  </si>
  <si>
    <t>Bekerülési érték (bruttó érték)</t>
  </si>
  <si>
    <t>Halmozott értékcsökkenés</t>
  </si>
  <si>
    <t>Tárgyévi étékcsökkenési leírás és terven felüli értékcsökkenés</t>
  </si>
  <si>
    <t>Átsorolásból</t>
  </si>
  <si>
    <t>Záró</t>
  </si>
  <si>
    <t>Terv szerinti értékcsökkenés</t>
  </si>
  <si>
    <t>Terven felüli</t>
  </si>
  <si>
    <t>Visszaírás          (-)</t>
  </si>
  <si>
    <t>Rövid lejáratú kötelezettségek egyéb részesedési viszonyban álló vállalkozással szemben</t>
  </si>
  <si>
    <t>III.B.II Követelések</t>
  </si>
  <si>
    <t>III.H. Eredménykimutatás</t>
  </si>
  <si>
    <t>Tevékenység megnevezés</t>
  </si>
  <si>
    <t>Összeg</t>
  </si>
  <si>
    <t>Termék és szolgáltatásimport összesen:</t>
  </si>
  <si>
    <t>az üzleti év végén a tárgyévi adózott eredmény kiegészítéseként osztalékra, részesedésre, kamatozó részvény kamatára, továbbá az eredménytartalékot terhelő adóra igénybe vett összege</t>
  </si>
  <si>
    <t>a gazdasági társaság tulajdonosánál (tagjánál) a gazdasági társaság veszteségének fedezetére teljesített - törvényi előíráson alapuló - pótbefizetés összege a pénzmozgással egyidejűleg</t>
  </si>
  <si>
    <t>III.H.I.1 A kutatás, kísérleti fejlesztés tárgyévi költségeinek ismertetése</t>
  </si>
  <si>
    <t>Rendkívüli tétel megnevezése</t>
  </si>
  <si>
    <t>III.H.I.2 Rendkívüli bevételek és ráfordítások részletezése</t>
  </si>
  <si>
    <t>Társasági adóra gyakorolt hatás  (+/-)</t>
  </si>
  <si>
    <r>
      <t>Követeléseknél</t>
    </r>
    <r>
      <rPr>
        <sz val="10"/>
        <rFont val="Arial"/>
        <family val="2"/>
      </rPr>
      <t xml:space="preserve"> a vevő (adós) minősítése alapján a követelés könyv szerinti értéke és a követelés várhatóan megtérülő összege közötti különbségre.</t>
    </r>
  </si>
  <si>
    <t>előző évi mérleg szerinti nyereség átvezetése eredménytartalékba</t>
  </si>
  <si>
    <t>tárgyévi veszteség</t>
  </si>
  <si>
    <t>K</t>
  </si>
  <si>
    <r>
      <t>Immateriális javaknál, tárgyi eszközöknél</t>
    </r>
    <r>
      <rPr>
        <sz val="10"/>
        <rFont val="Arial"/>
        <family val="2"/>
      </rPr>
      <t xml:space="preserve"> jelentős az eltérés, ha a piaci ár és könyv szerinti érték különbözete meghaladja az eredeti bekerülési érték 10%-át, ill. 500 EFt-ot.</t>
    </r>
  </si>
  <si>
    <r>
      <t xml:space="preserve">Bekerülés értéken értékelt </t>
    </r>
    <r>
      <rPr>
        <u val="single"/>
        <sz val="10"/>
        <rFont val="Arial"/>
        <family val="2"/>
      </rPr>
      <t xml:space="preserve">befektetett pénzügyi eszközök </t>
    </r>
    <r>
      <rPr>
        <sz val="10"/>
        <rFont val="Arial"/>
        <family val="2"/>
      </rPr>
      <t>esetén, ha könyv szerinti értéke jelentősen meghaladja a piaci értéket, vagy a befektett társaság jegyzett tőke, saját tőke aránya szükségessé teszi</t>
    </r>
  </si>
  <si>
    <r>
      <t>Vásárolt készleteknél</t>
    </r>
    <r>
      <rPr>
        <sz val="10"/>
        <rFont val="Arial"/>
        <family val="2"/>
      </rPr>
      <t>, ill.</t>
    </r>
    <r>
      <rPr>
        <u val="single"/>
        <sz val="10"/>
        <rFont val="Arial"/>
        <family val="2"/>
      </rPr>
      <t xml:space="preserve"> saját termelésű készleteknél</t>
    </r>
    <r>
      <rPr>
        <sz val="10"/>
        <rFont val="Arial"/>
        <family val="2"/>
      </rPr>
      <t>, ha a piaci érték és a könyv szerinti érték különbözete meghaladja a bekerülési érték 20%-át, ill. 100 E Ft-ot 6 hónapon keresztül.</t>
    </r>
  </si>
  <si>
    <r>
      <t>Fajlagosan kisértékű</t>
    </r>
    <r>
      <rPr>
        <sz val="10"/>
        <rFont val="Arial"/>
        <family val="2"/>
      </rPr>
      <t xml:space="preserve"> (50 E Ft-ot meg nem haladó) </t>
    </r>
    <r>
      <rPr>
        <u val="single"/>
        <sz val="10"/>
        <rFont val="Arial"/>
        <family val="2"/>
      </rPr>
      <t>készletcsoportoknál</t>
    </r>
    <r>
      <rPr>
        <sz val="10"/>
        <rFont val="Arial"/>
        <family val="2"/>
      </rPr>
      <t xml:space="preserve"> elszámolt értékvesztés:……………%</t>
    </r>
  </si>
  <si>
    <t xml:space="preserve"> II.E.1 A környezet védelmét közvetlenül szolgáló tárgyi eszközök adatai</t>
  </si>
  <si>
    <t>Lejárat ideje</t>
  </si>
  <si>
    <t>Szerződés szerinti értéke</t>
  </si>
  <si>
    <t>Várható hatása</t>
  </si>
  <si>
    <t>Üzleti évben már figyelembe vett hatás</t>
  </si>
  <si>
    <t>Non-current liabilities to associated enterprises</t>
  </si>
  <si>
    <t>Hitel és kölcsön felvétele</t>
  </si>
  <si>
    <t>Hosszú lejáratra nyújtott kölcsönök és elhelyezett bankbetétek törlesztése, megszüntetése, beváltása</t>
  </si>
  <si>
    <t>Véglegesen kapott pénzeszköz</t>
  </si>
  <si>
    <t>Részvénybevonás, tőkekivonás (tőkeleszállítás)</t>
  </si>
  <si>
    <t>Rövid lejáratú köt-ek egyéb rész. visz-ban lévő váll. szemben</t>
  </si>
  <si>
    <t>Current borrowings</t>
  </si>
  <si>
    <t>Current loans</t>
  </si>
  <si>
    <t>Advances received from customers</t>
  </si>
  <si>
    <t>Trade payables</t>
  </si>
  <si>
    <t>Bills of exchange payable</t>
  </si>
  <si>
    <t>Current liabilities to related enterprises</t>
  </si>
  <si>
    <t>Current liabilities to associated enterprises</t>
  </si>
  <si>
    <t>Kurzfristige Verbindlichkeiten gegen Unternehmen in einem sonstigen Beteiligungsverhältnis</t>
  </si>
  <si>
    <t>Kurzfristige Verbindlichkeiten gegen verbundene Unternehmen</t>
  </si>
  <si>
    <t>Wechselverbindlichkeiten</t>
  </si>
  <si>
    <t>Verbindlichkeiten aus Lieferungen und Leistungen (Lieferanten)</t>
  </si>
  <si>
    <t>Erhaltene Anzahlungen auf Bestellungen</t>
  </si>
  <si>
    <t>Kurzfristige Kredite</t>
  </si>
  <si>
    <t>Kurzfristige Darlehen</t>
  </si>
  <si>
    <t>Forderungen gegen Unternehmen in einem sonstigen Beteiligungsverhältnis</t>
  </si>
  <si>
    <t>Wechselforderungen</t>
  </si>
  <si>
    <t>Sonstige Forderungen</t>
  </si>
  <si>
    <t>Receivables from related enterprises</t>
  </si>
  <si>
    <t>Receivables from associated enterprises</t>
  </si>
  <si>
    <t>Disclosed information is confirmed by auditor</t>
  </si>
  <si>
    <t>Passive Rechnungsabgrenzungsposten</t>
  </si>
  <si>
    <t>BILANZ „A”</t>
  </si>
  <si>
    <t>AKTIVA INSGESAMT</t>
  </si>
  <si>
    <t>ASSETS TOTAL</t>
  </si>
  <si>
    <t>Aktiva</t>
  </si>
  <si>
    <t>Nr.</t>
  </si>
  <si>
    <t>Bezeichnung</t>
  </si>
  <si>
    <t>Statitsztikai számjel</t>
  </si>
  <si>
    <t>Éves beszámoló</t>
  </si>
  <si>
    <t>(képviselője)</t>
  </si>
  <si>
    <t>MÉRLEG "A" változat</t>
  </si>
  <si>
    <t>Egyszerűsített éves beszámoló forgalmi költség eljárással készített</t>
  </si>
  <si>
    <t>Értékesítés közvetlen költségei</t>
  </si>
  <si>
    <t>Értékesítés közvetett költségei</t>
  </si>
  <si>
    <t>RENDKÍVÜLI EREDMÉNY (IX-X)</t>
  </si>
  <si>
    <t>Tartósan befektetett eszközök aránya</t>
  </si>
  <si>
    <t>Befektetett eszközök</t>
  </si>
  <si>
    <t>Gebundene Rücklagen</t>
  </si>
  <si>
    <t>Saját és idegen tőke</t>
  </si>
  <si>
    <t>cél elozo ev osszeg oszlop</t>
  </si>
  <si>
    <t>cél targyev osszeg oszlop</t>
  </si>
  <si>
    <t>F/I+F/II sor</t>
  </si>
  <si>
    <t>D+F/I+F/II sor</t>
  </si>
  <si>
    <t>Version "A"</t>
  </si>
  <si>
    <t>"A" Version</t>
  </si>
  <si>
    <t xml:space="preserve">Költségek, ráfordítások aktív időbeli elhatárolásai </t>
  </si>
  <si>
    <t>Halasztott ráfordítások összesen</t>
  </si>
  <si>
    <t>Aktív időbeli elhatárolás összesen</t>
  </si>
  <si>
    <t>Tőketartalékból (a)</t>
  </si>
  <si>
    <t>Együttesen:</t>
  </si>
  <si>
    <t>Kötvény és hitelviszonyt megtest. értékpapír visszafizetése</t>
  </si>
  <si>
    <t>Gewinn- und Verlustrechnung nach dem Gesamtkostverfahren</t>
  </si>
  <si>
    <t>Keltezés:</t>
  </si>
  <si>
    <t>Total equities and liabilities</t>
  </si>
  <si>
    <t>Pénzeszközök változása (±I±II±III.sorok) ±</t>
  </si>
  <si>
    <t>Eredménykimutatás típusa</t>
  </si>
  <si>
    <t>Pénzügyi mutatók alakulása</t>
  </si>
  <si>
    <t>Other current liabilities</t>
  </si>
  <si>
    <t>Sonstige kurzfristige Verbindlichkeiten</t>
  </si>
  <si>
    <t>Költségek, ráfordítások aktív időbeli elhatárolása</t>
  </si>
  <si>
    <t>Accrued income</t>
  </si>
  <si>
    <t>Accrued expenses</t>
  </si>
  <si>
    <t>Deferred expenses</t>
  </si>
  <si>
    <t>Aktive Rechnungsabgrenzungen der Erlöse und Erträge</t>
  </si>
  <si>
    <t>Aktive Rechnungsabgrenzungen der Kosten und Aufwendungen</t>
  </si>
  <si>
    <t>Verschobene Aufwendungen</t>
  </si>
  <si>
    <t>Összes eszköz</t>
  </si>
  <si>
    <t>Kiszámítása:</t>
  </si>
  <si>
    <t>A sor</t>
  </si>
  <si>
    <t>A+B+C sorok</t>
  </si>
  <si>
    <t>Forgóeszközök aránya</t>
  </si>
  <si>
    <t>Forgóeszközök</t>
  </si>
  <si>
    <t>B sor</t>
  </si>
  <si>
    <t>Saját tőke aránya</t>
  </si>
  <si>
    <t>Saját tőke</t>
  </si>
  <si>
    <t>Összes forrás</t>
  </si>
  <si>
    <t>D sor</t>
  </si>
  <si>
    <t>D+E+F+G sorok</t>
  </si>
  <si>
    <t>Az eszközök megtérülése</t>
  </si>
  <si>
    <t>A Reihe</t>
  </si>
  <si>
    <t>A várhatóan felmerülő költségekkel és a kalkulált haszonnal csökkentett ekadási áron kerül megállapításra.</t>
  </si>
  <si>
    <t>Főkönyvi számlaszám</t>
  </si>
  <si>
    <t xml:space="preserve">Értékvesztés </t>
  </si>
  <si>
    <t>Tárgyévi növekedés</t>
  </si>
  <si>
    <t>Tárgyévi csökkenés (-)</t>
  </si>
  <si>
    <t>Tárgyévi visszaírás (-)</t>
  </si>
  <si>
    <t>Növendék, hízó és egyéb állatok</t>
  </si>
  <si>
    <t>Készletek összesen</t>
  </si>
  <si>
    <t>Átsorolás (±)</t>
  </si>
  <si>
    <t>Befektett eszköz összesen</t>
  </si>
  <si>
    <t>Nettó érték</t>
  </si>
  <si>
    <t>Növekedés (+)</t>
  </si>
  <si>
    <t>Csökkenés (-)</t>
  </si>
  <si>
    <t>Visszaírás (-)</t>
  </si>
  <si>
    <t>Tartósan adott kölcsön egyéb részesedési viszonyban álló vállalkozásban</t>
  </si>
  <si>
    <t>Egyéb tartósan adott kölcsönök</t>
  </si>
  <si>
    <t>Befektetett pénzügyi eszközök értékhelyesbítése</t>
  </si>
  <si>
    <t>Befektetett pénzügyi eszközök értékelési különbözete</t>
  </si>
  <si>
    <t>Befektetett pénzügyi ezközök összesen</t>
  </si>
  <si>
    <t>mérleg</t>
  </si>
  <si>
    <t>ERKIM</t>
  </si>
  <si>
    <t xml:space="preserve">Adóévet megelőzően az adózás előtti eredményt csökkentő tételként elszámolt értékvesztés </t>
  </si>
  <si>
    <t>Értékvesztése átmeneti szabály szerinti leírása (pl.készlet 2005-ig)</t>
  </si>
  <si>
    <t xml:space="preserve">Követelés visszaírt értékvesztése </t>
  </si>
  <si>
    <t xml:space="preserve">Hitelezési veszteségként adóévben leírt követelés </t>
  </si>
  <si>
    <t xml:space="preserve">Behajthatatlannak minősülő követelés </t>
  </si>
  <si>
    <t>Korábban leírt behajthatatlan követelésre befolyt összeg</t>
  </si>
  <si>
    <t>Adóévben adott támogatás, juttatás</t>
  </si>
  <si>
    <t>Adomány, támogatás igazolt összege</t>
  </si>
  <si>
    <t>Adóellenőrzéssel megállapított adóévi ráfordításként elszámolt összeg</t>
  </si>
  <si>
    <t>Kapott összegek</t>
  </si>
  <si>
    <t>Adóellenőrzéssel megállapított adóévi bevételként elszámolt összeg</t>
  </si>
  <si>
    <t xml:space="preserve">Kapott osztalék, részesedés </t>
  </si>
  <si>
    <t>Szakképző iskolai tanuló kedvezménye</t>
  </si>
  <si>
    <t>Általános cégadatok:</t>
  </si>
  <si>
    <t>A vállalkozás hosszú neve</t>
  </si>
  <si>
    <t>A vállalkozás rövid neve</t>
  </si>
  <si>
    <t>KSH szám</t>
  </si>
  <si>
    <t>Adószám</t>
  </si>
  <si>
    <t>Cégjegyzék szám</t>
  </si>
  <si>
    <t>Az üzleti év fordulónapja</t>
  </si>
  <si>
    <t>Belföldi értékesítés nettó árbevétele</t>
  </si>
  <si>
    <t>01</t>
  </si>
  <si>
    <t>Export értékesítés nettó árbevétele</t>
  </si>
  <si>
    <t>02</t>
  </si>
  <si>
    <t>I.</t>
  </si>
  <si>
    <t>03</t>
  </si>
  <si>
    <t>Saját termelésű készletek állományváltozása</t>
  </si>
  <si>
    <t>04</t>
  </si>
  <si>
    <t>Saját előállítású eszközök aktivált értéke</t>
  </si>
  <si>
    <t>05</t>
  </si>
  <si>
    <t>II.</t>
  </si>
  <si>
    <t>06</t>
  </si>
  <si>
    <t>III.</t>
  </si>
  <si>
    <t>Egyéb bevételek</t>
  </si>
  <si>
    <t>07</t>
  </si>
  <si>
    <t xml:space="preserve">     III.sorból: visszaírt értékvesztés</t>
  </si>
  <si>
    <t>08</t>
  </si>
  <si>
    <t xml:space="preserve">Anyagköltség </t>
  </si>
  <si>
    <t>09</t>
  </si>
  <si>
    <t>Igénybe vett szolgáltatások értéke</t>
  </si>
  <si>
    <t>10</t>
  </si>
  <si>
    <t>Egyéb szolgáltatások értéke</t>
  </si>
  <si>
    <t>11</t>
  </si>
  <si>
    <t>Eladott áruk beszerzési értéke</t>
  </si>
  <si>
    <t>12</t>
  </si>
  <si>
    <t>Equities and Liabilities</t>
  </si>
  <si>
    <t>D+F/I sor+F/IIsor+F/III Reihe</t>
  </si>
  <si>
    <t>D/I Reihe</t>
  </si>
  <si>
    <t>Eladott (közvetített) szolgáltatások értéke</t>
  </si>
  <si>
    <t>13</t>
  </si>
  <si>
    <t>IV.</t>
  </si>
  <si>
    <t>14</t>
  </si>
  <si>
    <t>Bérköltség</t>
  </si>
  <si>
    <t>15</t>
  </si>
  <si>
    <t>Személyi jellegű egyéb kifizetések</t>
  </si>
  <si>
    <t>16</t>
  </si>
  <si>
    <t>Bérjárulékok</t>
  </si>
  <si>
    <t>17</t>
  </si>
  <si>
    <t>V.</t>
  </si>
  <si>
    <t>18</t>
  </si>
  <si>
    <t>VI.</t>
  </si>
  <si>
    <t>Értékcsökkenési leírás</t>
  </si>
  <si>
    <t>19</t>
  </si>
  <si>
    <t>VII.</t>
  </si>
  <si>
    <t>Egyéb ráfordítások</t>
  </si>
  <si>
    <t>20</t>
  </si>
  <si>
    <t xml:space="preserve">     VII. sorból: értékvesztés</t>
  </si>
  <si>
    <t>21</t>
  </si>
  <si>
    <t>A.</t>
  </si>
  <si>
    <t>22</t>
  </si>
  <si>
    <t>Befektetett pénzügyi eszközök kamatai, árfolyamnyeresége</t>
  </si>
  <si>
    <t xml:space="preserve">     15. sorból: kapcsolt vállalkozástól kapott</t>
  </si>
  <si>
    <t>Mérleg és eredménykimutatás elkészítése excel átadást választani,  részletes szintetika igen</t>
  </si>
  <si>
    <r>
      <t>∙</t>
    </r>
    <r>
      <rPr>
        <b/>
        <sz val="10"/>
        <rFont val="Arial"/>
        <family val="2"/>
      </rPr>
      <t xml:space="preserve"> Valós értéken történő értékelés: számított piaci érték (jelenérték) esetén alkalmazott feltételek</t>
    </r>
  </si>
  <si>
    <r>
      <t>∙</t>
    </r>
    <r>
      <rPr>
        <b/>
        <sz val="10"/>
        <rFont val="Arial"/>
        <family val="2"/>
      </rPr>
      <t xml:space="preserve"> Valós értékelés értékelési különbözetének nagysága</t>
    </r>
  </si>
  <si>
    <r>
      <t>∙</t>
    </r>
    <r>
      <rPr>
        <b/>
        <sz val="10"/>
        <rFont val="Arial"/>
        <family val="2"/>
      </rPr>
      <t xml:space="preserve"> Pénzügyi instrumentumok</t>
    </r>
  </si>
  <si>
    <r>
      <t>∙</t>
    </r>
    <r>
      <rPr>
        <b/>
        <sz val="10"/>
        <rFont val="Arial"/>
        <family val="2"/>
      </rPr>
      <t xml:space="preserve"> Származékos ügyletek</t>
    </r>
  </si>
  <si>
    <r>
      <t>∙</t>
    </r>
    <r>
      <rPr>
        <b/>
        <sz val="10"/>
        <rFont val="Arial"/>
        <family val="2"/>
      </rPr>
      <t>Fedezeti ügyletek hatékonysága</t>
    </r>
  </si>
  <si>
    <r>
      <t>∙</t>
    </r>
    <r>
      <rPr>
        <b/>
        <sz val="10"/>
        <rFont val="Arial"/>
        <family val="2"/>
      </rPr>
      <t xml:space="preserve"> Valós értékelés értékelési tartalékának tárgyévi változása</t>
    </r>
  </si>
  <si>
    <r>
      <t>∙</t>
    </r>
    <r>
      <rPr>
        <b/>
        <sz val="10"/>
        <rFont val="Arial"/>
        <family val="2"/>
      </rPr>
      <t xml:space="preserve"> Áttérés hatása (bekerülési érték </t>
    </r>
    <r>
      <rPr>
        <b/>
        <sz val="10"/>
        <rFont val="Lucida Console"/>
        <family val="3"/>
      </rPr>
      <t>&lt;-&gt;</t>
    </r>
    <r>
      <rPr>
        <b/>
        <sz val="10"/>
        <rFont val="Arial"/>
        <family val="2"/>
      </rPr>
      <t>valós )</t>
    </r>
  </si>
  <si>
    <t>Beszámoló készítés nyelve</t>
  </si>
  <si>
    <t>KiegMell</t>
  </si>
  <si>
    <t>Balance Sheet Date</t>
  </si>
  <si>
    <t>A beszámoló formája</t>
  </si>
  <si>
    <t>A mérleg változata</t>
  </si>
  <si>
    <t>Az eredménykimutatás formája</t>
  </si>
  <si>
    <t>Az eredménykimutatás változata</t>
  </si>
  <si>
    <t>A mérlegkészítés időpontja</t>
  </si>
  <si>
    <t>Komárom, 02 January 2005</t>
  </si>
  <si>
    <t>Eszközök (aktívák)</t>
  </si>
  <si>
    <t>Receipts from the issue of bonds, securities signifíing a creditor relationship</t>
  </si>
  <si>
    <t>Borrowings</t>
  </si>
  <si>
    <t>Sonstige Personalaufwendungen</t>
  </si>
  <si>
    <t>Lohnnebenkosten</t>
  </si>
  <si>
    <t>Abschreibungen</t>
  </si>
  <si>
    <t>Sonstige Aufwendungen</t>
  </si>
  <si>
    <t>Erträge aus Dividenden und Gewinnanteilen</t>
  </si>
  <si>
    <t>Kursgewinn aus dem Verkauf von Beteiligungen</t>
  </si>
  <si>
    <t>30.</t>
  </si>
  <si>
    <t>31.</t>
  </si>
  <si>
    <t>32.</t>
  </si>
  <si>
    <t>33.</t>
  </si>
  <si>
    <t>34.</t>
  </si>
  <si>
    <t>35.</t>
  </si>
  <si>
    <t>36.</t>
  </si>
  <si>
    <t>37.</t>
  </si>
  <si>
    <t>38.</t>
  </si>
  <si>
    <t>39.</t>
  </si>
  <si>
    <t>40.</t>
  </si>
  <si>
    <r>
      <t>E</t>
    </r>
    <r>
      <rPr>
        <sz val="10"/>
        <rFont val="Arial"/>
        <family val="0"/>
      </rPr>
      <t xml:space="preserve">lszámolási </t>
    </r>
    <r>
      <rPr>
        <b/>
        <sz val="10"/>
        <rFont val="Arial"/>
        <family val="2"/>
      </rPr>
      <t>L</t>
    </r>
    <r>
      <rPr>
        <sz val="10"/>
        <rFont val="Arial"/>
        <family val="0"/>
      </rPr>
      <t xml:space="preserve">eszállítási </t>
    </r>
    <r>
      <rPr>
        <b/>
        <sz val="10"/>
        <rFont val="Arial"/>
        <family val="2"/>
      </rPr>
      <t>F</t>
    </r>
    <r>
      <rPr>
        <sz val="10"/>
        <rFont val="Arial"/>
        <family val="0"/>
      </rPr>
      <t xml:space="preserve">edezeti célú </t>
    </r>
    <r>
      <rPr>
        <b/>
        <sz val="10"/>
        <rFont val="Arial"/>
        <family val="2"/>
      </rPr>
      <t>N</t>
    </r>
    <r>
      <rPr>
        <sz val="10"/>
        <rFont val="Arial"/>
        <family val="0"/>
      </rPr>
      <t xml:space="preserve">em </t>
    </r>
    <r>
      <rPr>
        <b/>
        <sz val="10"/>
        <rFont val="Arial"/>
        <family val="2"/>
      </rPr>
      <t>F</t>
    </r>
    <r>
      <rPr>
        <sz val="10"/>
        <rFont val="Arial"/>
        <family val="0"/>
      </rPr>
      <t>edezeti célú ügylet</t>
    </r>
  </si>
  <si>
    <t xml:space="preserve">    davon an verbundene Unternehmen</t>
  </si>
  <si>
    <t>EredmForgktsg"A"</t>
  </si>
  <si>
    <t>Direkte Herstellungskosten der Umsatzerlöse</t>
  </si>
  <si>
    <t>Vertriebskosten</t>
  </si>
  <si>
    <t>Aufwendungen für bezogene Waren</t>
  </si>
  <si>
    <t>Aufwendungen für verkaufte (vermittelte) Leistungen</t>
  </si>
  <si>
    <t>Lohn- und Gehaltskosten</t>
  </si>
  <si>
    <t>Redeemed bonds and securities signifying a creditor relationship</t>
  </si>
  <si>
    <t>Loan instalment payments</t>
  </si>
  <si>
    <t>Long-term loans and bank deposits</t>
  </si>
  <si>
    <t>Non-repayable liquid assets transferred</t>
  </si>
  <si>
    <t>Variation in liabilities due to founders and in other long-term liabilities</t>
  </si>
  <si>
    <t>Variation in liquid assets (I±II±III.)</t>
  </si>
  <si>
    <t>Änderung der liquiden Mittel (I±II±III.)</t>
  </si>
  <si>
    <t>Änderung der Verb. gegenüber den Gründern bzw. sonst. langfr. Verb.</t>
  </si>
  <si>
    <t>Endgültig übergebene Geldmittel</t>
  </si>
  <si>
    <t>Langfristig gewährte Darlehen und angelegte Bankguthaben</t>
  </si>
  <si>
    <t>Tilgung bzw. Rückzahlung von Krediten und Darlehen</t>
  </si>
  <si>
    <t xml:space="preserve">    davon: zurückgeschriebene Wertverluste</t>
  </si>
  <si>
    <t>Aktivierte Eigenleistungen</t>
  </si>
  <si>
    <t>Nettoumsatzerlöse</t>
  </si>
  <si>
    <t>Pénzügyi műveletek bevételei</t>
  </si>
  <si>
    <t>Pénzügyi műveletek ráfordításai</t>
  </si>
  <si>
    <t>MÉRLEG SZERINTI EREDMÉNY</t>
  </si>
  <si>
    <t>13.</t>
  </si>
  <si>
    <t>14.</t>
  </si>
  <si>
    <t>15.</t>
  </si>
  <si>
    <t>16.</t>
  </si>
  <si>
    <t>17.</t>
  </si>
  <si>
    <t>18.</t>
  </si>
  <si>
    <t>19.</t>
  </si>
  <si>
    <t>20.</t>
  </si>
  <si>
    <t>21.</t>
  </si>
  <si>
    <t>22.</t>
  </si>
  <si>
    <t>23.</t>
  </si>
  <si>
    <t>24.</t>
  </si>
  <si>
    <t>25.</t>
  </si>
  <si>
    <t>Előző év</t>
  </si>
  <si>
    <t>Tárgyév</t>
  </si>
  <si>
    <t>26.</t>
  </si>
  <si>
    <t>27.</t>
  </si>
  <si>
    <t>28.</t>
  </si>
  <si>
    <t>29.</t>
  </si>
  <si>
    <t>Nettoumsatzerlöse, Inland</t>
  </si>
  <si>
    <t>manuálisan</t>
  </si>
  <si>
    <t>Hátrasorolt kötelezettségek egyéb gazdálkodóval szemben</t>
  </si>
  <si>
    <t>Subordinated liabilities to related enterprises</t>
  </si>
  <si>
    <t>Subordinated liabilities to associated enterprises</t>
  </si>
  <si>
    <t>Nachrangige Verbindlichkeiten gegen sonstige Unternehmen</t>
  </si>
  <si>
    <t>Langfristige Verbindlichkeiten</t>
  </si>
  <si>
    <t>Einnahmen aus Aktienemissionen und Kapitaleinbeziehungen</t>
  </si>
  <si>
    <t>Távhő Kft</t>
  </si>
  <si>
    <t>2900 Komárom, Csokonai út 2.</t>
  </si>
  <si>
    <t>11183855353011311</t>
  </si>
  <si>
    <t>11183855-2-11</t>
  </si>
  <si>
    <t>11-09-002700</t>
  </si>
  <si>
    <t>Tartós kötelezettségek kapcsolt vállalkozással szemben</t>
  </si>
  <si>
    <t>Tartós köt-ek egyéb rész. visz-ban lévő vállalk-al szemben</t>
  </si>
  <si>
    <t>Non-current borrowings</t>
  </si>
  <si>
    <t>Convertible bonds</t>
  </si>
  <si>
    <t>1. "KTartalom" munkalapon az "Adatot tartalmaz" oszlopot kitölteni</t>
  </si>
  <si>
    <t>1. "LTartalom" munkalapon az "Adatot tartalmaz" oszlopot kitölteni</t>
  </si>
  <si>
    <t>Sonstige langfristige Kredite</t>
  </si>
  <si>
    <t>Dauerhafte Verbindlichkeiten gegen verbundene Unternehmen</t>
  </si>
  <si>
    <t>III.H.IV.3 Támogatási program keretében kapott, visszatérítendő, kötelezettségként kimutatott támogatások</t>
  </si>
  <si>
    <t>Anyavállalat</t>
  </si>
  <si>
    <t>Leányvállalat</t>
  </si>
  <si>
    <t>Közös vezetésű vállalkozás</t>
  </si>
  <si>
    <t>Társult vállalkozás</t>
  </si>
  <si>
    <t>Steuerverpflichtung fürs Geschäftsjahr:</t>
  </si>
  <si>
    <t>Cash Flow Statement</t>
  </si>
  <si>
    <t>Cash Flow Rechnung</t>
  </si>
  <si>
    <t>Betriebs-Cash-Flow (1-13.)</t>
  </si>
  <si>
    <t>Operating cash-flow (1-13.)</t>
  </si>
  <si>
    <t>Income before taxes</t>
  </si>
  <si>
    <t xml:space="preserve">Depreciation write-off </t>
  </si>
  <si>
    <t xml:space="preserve">Loss in value and backmarking </t>
  </si>
  <si>
    <t xml:space="preserve">Difference between provisions made and utilized  </t>
  </si>
  <si>
    <t xml:space="preserve">Invested assets sold </t>
  </si>
  <si>
    <t xml:space="preserve">Variation in accounts payable </t>
  </si>
  <si>
    <t>Asset, Equity and Liability Indexes</t>
  </si>
  <si>
    <t>Changes compared to previous year</t>
  </si>
  <si>
    <t>% changes compared to previous year</t>
  </si>
  <si>
    <t xml:space="preserve">Variation in other short-term liabilities </t>
  </si>
  <si>
    <t>Rückstellungen</t>
  </si>
  <si>
    <t>Társasági adó levezetése</t>
  </si>
  <si>
    <t>Vermindernde Positionen</t>
  </si>
  <si>
    <t>Erhöhende Positionen</t>
  </si>
  <si>
    <t>Titles increasing profit before taxation</t>
  </si>
  <si>
    <t>Titles decreasing profit before taxation</t>
  </si>
  <si>
    <t>cél szöveg oszlop</t>
  </si>
  <si>
    <t>Egyszerűsített éves beszámoló összköltség eljárással készített</t>
  </si>
  <si>
    <t>EREDMÉNYKIMUTATÁSA "A" változat</t>
  </si>
  <si>
    <t>Értékesítés nettó árbevétele</t>
  </si>
  <si>
    <t>Aktivált saját teljesítmények értéke</t>
  </si>
  <si>
    <t>Anyagjellegű ráfordítások</t>
  </si>
  <si>
    <t>Személyi jellegű ráfordítások</t>
  </si>
  <si>
    <t>Zinsen und Kursgewinn von Finanzanlagen</t>
  </si>
  <si>
    <t>Zinsen und ähnliche Erträge</t>
  </si>
  <si>
    <t>Sonstige finanzielle Erträge</t>
  </si>
  <si>
    <t>Kursverluste von Finanzanlagen</t>
  </si>
  <si>
    <t>Zinsen und ähnliche Aufwendungen</t>
  </si>
  <si>
    <t>Abschreibungen auf Finanzanlagen</t>
  </si>
  <si>
    <t>Außerordentliche Erträge</t>
  </si>
  <si>
    <t>Außerordentliche Aufwendungen</t>
  </si>
  <si>
    <t>Steuerpflicht</t>
  </si>
  <si>
    <t xml:space="preserve">     16. sorból: kapcsolt vállalkozástól kapott</t>
  </si>
  <si>
    <t>III.D.1</t>
  </si>
  <si>
    <t>III.D.2</t>
  </si>
  <si>
    <t>III.D.3</t>
  </si>
  <si>
    <t>III.H.II</t>
  </si>
  <si>
    <t>III.H.III</t>
  </si>
  <si>
    <t>III.H.IV</t>
  </si>
  <si>
    <t>III.H.V</t>
  </si>
  <si>
    <t>III.H.VI</t>
  </si>
  <si>
    <t>Leltár fedlap</t>
  </si>
  <si>
    <t>L.D</t>
  </si>
  <si>
    <t xml:space="preserve">III.H.II.4 A termékimport értéke </t>
  </si>
  <si>
    <t xml:space="preserve">    Tárgyi eszközök értékhelyesbítése</t>
  </si>
  <si>
    <t xml:space="preserve">    Befektetett pénzügyi eszközök értékhelyesbítése</t>
  </si>
  <si>
    <t xml:space="preserve">    Pénztár, csekkek</t>
  </si>
  <si>
    <t xml:space="preserve">    Bankbetétek</t>
  </si>
  <si>
    <t>A közzétett adatokat könyvvizsgáló nem ellenőrizte</t>
  </si>
  <si>
    <t>Vorjahr</t>
  </si>
  <si>
    <t>IMMATERIELLE VERMÖGENGEGENSTÄNDE</t>
  </si>
  <si>
    <t>SACHANLAGEN</t>
  </si>
  <si>
    <t>Umlaufvermögen</t>
  </si>
  <si>
    <t>FLÜSSIGE MITTEL</t>
  </si>
  <si>
    <t>Aktive Rechnungsabgrenzungposten</t>
  </si>
  <si>
    <t>Eigenkapital</t>
  </si>
  <si>
    <t xml:space="preserve">  davon: Wandelschuldverschreibung</t>
  </si>
  <si>
    <t>PASSIVA INSGESAMT</t>
  </si>
  <si>
    <t>Anlagevermögen</t>
  </si>
  <si>
    <t xml:space="preserve">as of </t>
  </si>
  <si>
    <t xml:space="preserve">Ende des Geschäftsjahr: </t>
  </si>
  <si>
    <t xml:space="preserve">Az üzleti év mérlegfordulónapja: </t>
  </si>
  <si>
    <t>Geschäfts-jahr</t>
  </si>
  <si>
    <t>Követelések kapcsolt vállalkozással szemben</t>
  </si>
  <si>
    <t>Követelések áruszállításból és szolgáltatásból (vevők)</t>
  </si>
  <si>
    <t>Bills of exchange receivables</t>
  </si>
  <si>
    <t>Forderungen aus Lieferungen und Leistungen (Käufer)</t>
  </si>
  <si>
    <t>Forderungen gegen verbundene Unternehmen</t>
  </si>
  <si>
    <t>Cash Flow</t>
  </si>
  <si>
    <t>Corporate Income Tax</t>
  </si>
  <si>
    <t>Rückstellungen für ungewisse Verbindlichkeiten</t>
  </si>
  <si>
    <t>Rückstellungen für zukünftige Kosten</t>
  </si>
  <si>
    <t>Sonstige Rückstellungen</t>
  </si>
  <si>
    <t>Aufwendungen für Roh-, Hilfs- und Betriebsstoffe</t>
  </si>
  <si>
    <t>Aufwendungen für sonstige Leistungen</t>
  </si>
  <si>
    <t>Saját tőke növekedése</t>
  </si>
  <si>
    <t>Jegyzett tőke</t>
  </si>
  <si>
    <t>D/I sor</t>
  </si>
  <si>
    <t>Az összes eszköz megtérülési mutatója</t>
  </si>
  <si>
    <t>(Mérleg A+B+C sorok nyitó + záróállománya )/2</t>
  </si>
  <si>
    <t>A készletek forgási sebessége</t>
  </si>
  <si>
    <t>Átlagos készletérték x 365</t>
  </si>
  <si>
    <t>(Mérleg B/I sor nyitó + záróállománya)/2 x 365</t>
  </si>
  <si>
    <t>Likvid pénzeszközök</t>
  </si>
  <si>
    <t>Rövid lejáratú kötelezettségek</t>
  </si>
  <si>
    <t>Allgemeine Verwaltungskosten</t>
  </si>
  <si>
    <t>Sonstige Gemeinkosten</t>
  </si>
  <si>
    <t>Direkte kosten der Abgesetz. Leistungen un Erzeugnisse</t>
  </si>
  <si>
    <t>Bruttoergebnis vom Umsatz</t>
  </si>
  <si>
    <t>Indirekte kosten der Abgesetz. Leistungen un Erzeugnisse</t>
  </si>
  <si>
    <t>Income Statement  “By Function”  format</t>
  </si>
  <si>
    <t>Direct cost of sales</t>
  </si>
  <si>
    <t>Prime cost of sales</t>
  </si>
  <si>
    <t>Gross sales profit</t>
  </si>
  <si>
    <t>Distribution costs</t>
  </si>
  <si>
    <t>Administrative expenses</t>
  </si>
  <si>
    <t>Other overhead expenses</t>
  </si>
  <si>
    <t>Indirect cost of sales</t>
  </si>
  <si>
    <t>Datum:</t>
  </si>
  <si>
    <t>cél tartomány kezd</t>
  </si>
  <si>
    <t>cél tartomány vége</t>
  </si>
  <si>
    <t>cél tábla</t>
  </si>
  <si>
    <t>forrás mérlegsorszam -&gt; lparam</t>
  </si>
  <si>
    <t>1. L.A.I munkalappal kezdve kitölteni az összes jellemző L. -el kezdődő munkalapot</t>
  </si>
  <si>
    <t>ISSUED CAPITAL UNPAID (-)</t>
  </si>
  <si>
    <t>Shareholders' Equity</t>
  </si>
  <si>
    <t xml:space="preserve">    Kassenbestand, Schecks</t>
  </si>
  <si>
    <t xml:space="preserve">    Bankguthaben</t>
  </si>
  <si>
    <t>A külföldi telephelyek főbb adatai telephelyenként</t>
  </si>
  <si>
    <t>91.§d)egysz. Nem kell</t>
  </si>
  <si>
    <t>Sonstige dauerhaft erteilte Ausleihungen</t>
  </si>
  <si>
    <t>Dauerhaftes Kreditverhältnis verkörpernde Wertpapiere</t>
  </si>
  <si>
    <t>Other investments</t>
  </si>
  <si>
    <t>Own shares and own partnership shares</t>
  </si>
  <si>
    <t>Securities for trading purposes</t>
  </si>
  <si>
    <t>Beteiligungen an verbundenen Unternehmen</t>
  </si>
  <si>
    <t>Sonstige Beteiligungen</t>
  </si>
  <si>
    <t>Eigene Aktien und Anteile</t>
  </si>
  <si>
    <t>Wertpapiere zum Verkauf</t>
  </si>
  <si>
    <t>Investments in related enterprises</t>
  </si>
  <si>
    <t>Änderung der sonstigen kurzfristigen Verbindlichkeiten</t>
  </si>
  <si>
    <t>Gezahlte bzw. zu zahlende Dividenden und Gewinnanteile</t>
  </si>
  <si>
    <t>Erhaltene Dividenden und Gewinnanteile</t>
  </si>
  <si>
    <t>IMMAT</t>
  </si>
  <si>
    <t>Mérleg "A"</t>
  </si>
  <si>
    <t>ÉB</t>
  </si>
  <si>
    <t>BPESZK</t>
  </si>
  <si>
    <t>KÉSZ</t>
  </si>
  <si>
    <t>KÖV</t>
  </si>
  <si>
    <t>ÉP</t>
  </si>
  <si>
    <t>PESZK</t>
  </si>
  <si>
    <t>AIE</t>
  </si>
  <si>
    <t>ST</t>
  </si>
  <si>
    <t>CT</t>
  </si>
  <si>
    <t>HK</t>
  </si>
  <si>
    <t>HLK</t>
  </si>
  <si>
    <t>RLK</t>
  </si>
  <si>
    <t>PIE</t>
  </si>
  <si>
    <t>Vállalkozás bemutatása- főbb adatok</t>
  </si>
  <si>
    <t>Vállalkozás bemutatása- külföldi gazdálkodás</t>
  </si>
  <si>
    <t>ÜE</t>
  </si>
  <si>
    <t>A számviteli politika főbb vonásai</t>
  </si>
  <si>
    <t>PE</t>
  </si>
  <si>
    <t>Vagyoni, pénzügyi helyzet és a jövedelmezőség alakulása</t>
  </si>
  <si>
    <t>RE</t>
  </si>
  <si>
    <t>Cash flow</t>
  </si>
  <si>
    <t>Befektetési tükör és értékcsökkenési leírások</t>
  </si>
  <si>
    <t>ÜE-FK</t>
  </si>
  <si>
    <t>Saját tőke mozgása éven belül</t>
  </si>
  <si>
    <t>Passzív időbeli elhatárolás</t>
  </si>
  <si>
    <t>Rendkívüli bevételek és ráfordítások részletezése</t>
  </si>
  <si>
    <t xml:space="preserve"> Az értékesítés nettó árbevétele főbb tevékenységenként</t>
  </si>
  <si>
    <t>Értékvesztések</t>
  </si>
  <si>
    <t>AST és költségnemek FK esetén</t>
  </si>
  <si>
    <t>A többi KM elemet kézzel kell kitölteni !!!</t>
  </si>
  <si>
    <t>2 I:/ KONYV05/FOK/Cégnév/EXMERLEG.DBF-et kell választani</t>
  </si>
  <si>
    <t>3. "EredmÉves" munkalapon Tárgyévi adatok átvétele</t>
  </si>
  <si>
    <t>4. I:/ KONYV05/FOK/Cégnév/EXEREDM.DBF-et kell választani</t>
  </si>
  <si>
    <t>5. "atadas" munkalapon adatátvétel TÁRGYÉV gomb</t>
  </si>
  <si>
    <t>6. Megkeresni azt a _Beszámoló 2005.xls-t ahova szeretnénk az adatokat tenni.</t>
  </si>
  <si>
    <t>III.H.IV.2 Támogatási program keretében kapott , illetve elszámolt összegek</t>
  </si>
  <si>
    <t>Szétválasztási különbözet</t>
  </si>
  <si>
    <t>(B/II/1. sor nyitó + záró)/2 x 365</t>
  </si>
  <si>
    <t>Átlagos szállítóállomány x 365</t>
  </si>
  <si>
    <t>III.H.V.2.  A költségek költségnemenkénti megbontása (forgalmi költség eljárás esetén)</t>
  </si>
  <si>
    <t>II.A.4 Vállalkozáscsoport legkisebb egységének összevont (konszolidált) éves beszámolóját készítője:</t>
  </si>
  <si>
    <t>Nem tártunk fel hibát.</t>
  </si>
  <si>
    <t>Szellemi termékek</t>
  </si>
  <si>
    <t>Immateriális javakra adott előlegek</t>
  </si>
  <si>
    <t>EgyszÉvesEredmForgktsg"A"</t>
  </si>
  <si>
    <t>Simplified Income Statement  “By Function”  format</t>
  </si>
  <si>
    <t xml:space="preserve">Appendix No. </t>
  </si>
  <si>
    <t xml:space="preserve">Nachweis Nr. </t>
  </si>
  <si>
    <t>Vereinfachte Gewinn- und Verlustrechnung nach dem</t>
  </si>
  <si>
    <t xml:space="preserve">Vereinfachte Gewinn- und Verlustrechnung nach dem </t>
  </si>
  <si>
    <t>Umsatzkostenverfahren "A" Version</t>
  </si>
  <si>
    <t>Mérlegkészítés dátuma</t>
  </si>
  <si>
    <t>Összköltséges</t>
  </si>
  <si>
    <t>Forgalmi költséges</t>
  </si>
  <si>
    <t>II.B Kapcsolt vállalkozások bemutatása</t>
  </si>
  <si>
    <t>II.A.1 Tárgyévben foglalkoztatott munkavállalók</t>
  </si>
  <si>
    <t>II.A.3 Vállalkozáscsoport legnagyobb egységének összevont (konszolidált) éves beszámolóját készítője:</t>
  </si>
  <si>
    <t xml:space="preserve">III.H.II.2 A termékexport árbevétele </t>
  </si>
  <si>
    <t>Nettoumsatzerlöse, Ausland</t>
  </si>
  <si>
    <t>Bestandsänderung der Vorräte aus eigener Produktion</t>
  </si>
  <si>
    <t>Aktivierter Wert der eigenhergestellten Vermögensgegenstände</t>
  </si>
  <si>
    <t>Sonstige Erträge</t>
  </si>
  <si>
    <t>Kapott (járó) osztalék és részesedés</t>
  </si>
  <si>
    <t xml:space="preserve">     13. sorból: kapcsolt vállalkozástól kapott</t>
  </si>
  <si>
    <t>Részesedések értékesítésének árfolyamnyeresége</t>
  </si>
  <si>
    <t xml:space="preserve">     14. sorból: kapcsolt vállalkozástól kapott</t>
  </si>
  <si>
    <t>+</t>
  </si>
  <si>
    <t>-</t>
  </si>
  <si>
    <t>Liquidity Indexes</t>
  </si>
  <si>
    <t>Likviditási gyorsráta</t>
  </si>
  <si>
    <t>Quick ratio</t>
  </si>
  <si>
    <t>Hosszútávú eladósodottság (%)</t>
  </si>
  <si>
    <t>Long-term debt ratio (%)</t>
  </si>
  <si>
    <t>Likviditási ráta</t>
  </si>
  <si>
    <t>Current ratio</t>
  </si>
  <si>
    <t>Vevőállomány forgási időtartama (nap)</t>
  </si>
  <si>
    <t>Average days of trade receivables</t>
  </si>
  <si>
    <t>Szállítóállomány forgási időtartama (nap)</t>
  </si>
  <si>
    <t>Average days of trade payables</t>
  </si>
  <si>
    <t>ÉRTÉKELÉSI TARTALÉK</t>
  </si>
  <si>
    <t>Céltartalék a várható kötelezettségekre</t>
  </si>
  <si>
    <t>Egyéb céltartalék</t>
  </si>
  <si>
    <t>Kötelezettségek</t>
  </si>
  <si>
    <t>Hosszú lejáratra kapott kölcsönök</t>
  </si>
  <si>
    <t>Átváltoztatható kötvények</t>
  </si>
  <si>
    <t>Tartozások kötvénykibocsátásból</t>
  </si>
  <si>
    <t>Beruházási és fejlesztési hitelek</t>
  </si>
  <si>
    <t>Egyéb hosszú lejáratú hitelek</t>
  </si>
  <si>
    <t>Egyéb hosszú lejáratú kötelezettségek</t>
  </si>
  <si>
    <t>Rövid lejáratú kölcsönök</t>
  </si>
  <si>
    <t>Rövid lejáratú hitelek</t>
  </si>
  <si>
    <t>World Bank requirement min. 1,3.                Hungarian commercial banks accept min. value of 1,7.</t>
  </si>
  <si>
    <t>Beszedés időtartama (nap)</t>
  </si>
  <si>
    <t>Egyéb rövid lejáratú kötelezettségek</t>
  </si>
  <si>
    <t>Passzív időbeli elhatárolások</t>
  </si>
  <si>
    <t>Bevételek passzív elhatárolása</t>
  </si>
  <si>
    <t>Halasztott bevételek</t>
  </si>
  <si>
    <t>Igen</t>
  </si>
  <si>
    <t>Nem</t>
  </si>
  <si>
    <t>FORRÁSOK (PASSZÍVÁK) ÖSSZESEN</t>
  </si>
  <si>
    <t>FÜGGETLEN KÖNYVVIZSGÁLÓI JELENTÉSHEZ</t>
  </si>
  <si>
    <t>Beszámoló típusa</t>
  </si>
  <si>
    <t>PÉNZÜGYI MŰVELETEK EREDMÉNYE</t>
  </si>
  <si>
    <t>SZOKÁSOS VÁLLALKOZÁSI EREDMÉNY</t>
  </si>
  <si>
    <t>RENDKÍVÜLI EREDMÉNY</t>
  </si>
  <si>
    <t>Értékesítés bruttó eredménye</t>
  </si>
  <si>
    <t>Jövedelmezőségi mutatók alakulása</t>
  </si>
  <si>
    <t>Profitability Indexes</t>
  </si>
  <si>
    <t>Árbevétel-arányos adózott eredmény (ROS) (%)</t>
  </si>
  <si>
    <t>Return on sales (ROS) (%)</t>
  </si>
  <si>
    <t>Versteuertes Ergebnis</t>
  </si>
  <si>
    <t>The higher this index the favourable is the rate of  the increase and starting capital.</t>
  </si>
  <si>
    <t xml:space="preserve">Variation in accrued and deferred liabilities </t>
  </si>
  <si>
    <t xml:space="preserve">Variation in trade debtors </t>
  </si>
  <si>
    <t xml:space="preserve">Variation in current assets (without receivables and liquid assets) </t>
  </si>
  <si>
    <t>Variation in accrued and deferred assets</t>
  </si>
  <si>
    <t>Tax paid or payable</t>
  </si>
  <si>
    <t>Dividends and profit-sharing paid or payable</t>
  </si>
  <si>
    <t>Dividends and profit-sharing received</t>
  </si>
  <si>
    <t xml:space="preserve">Verrechnete Amortisation </t>
  </si>
  <si>
    <t xml:space="preserve">Verrechnete Wertverluste und Rückschreibung </t>
  </si>
  <si>
    <t xml:space="preserve">Differenz der Bildung und Verwendung von Rückstellungen </t>
  </si>
  <si>
    <t>Ergebnis des Verkaufs von Anlagevermögen</t>
  </si>
  <si>
    <t xml:space="preserve">     including: to affiliated undertakings</t>
  </si>
  <si>
    <t>Interest payable and similar expenses</t>
  </si>
  <si>
    <t>III.G</t>
  </si>
  <si>
    <t>III.H.I</t>
  </si>
  <si>
    <t>Änderung der aktiven Rechnungsabgrenzungsposten</t>
  </si>
  <si>
    <t>Gezahlte bzw. zu zahlende Steuern (für Gewinne)</t>
  </si>
  <si>
    <t>Ppasszív időbeli elhatárolások összesen</t>
  </si>
  <si>
    <t>Üzemi (üzleti) tevékenység eredménye</t>
  </si>
  <si>
    <t>Az értékesítés közvetett költségei</t>
  </si>
  <si>
    <t xml:space="preserve">Egyéb általános költségek </t>
  </si>
  <si>
    <t>4. Szellemi termékek</t>
  </si>
  <si>
    <t>Losses on shares, securities and bank deposits</t>
  </si>
  <si>
    <t>Other operating income</t>
  </si>
  <si>
    <t>Version „A”</t>
  </si>
  <si>
    <t>Other expenses on financial transactions</t>
  </si>
  <si>
    <t>Extraordinary income</t>
  </si>
  <si>
    <t>Extraordinary expenses</t>
  </si>
  <si>
    <t>Tax payable</t>
  </si>
  <si>
    <t>Retained earnings used for dividends and profit-sharing</t>
  </si>
  <si>
    <t>Dividends and profit distribution paid (approved)</t>
  </si>
  <si>
    <t>1. "Tartalom" munkalapon az "Adatot tartalmaz" oszlopot kitölteni</t>
  </si>
  <si>
    <t>CEO of Company</t>
  </si>
  <si>
    <t>Simplified Financial Statements</t>
  </si>
  <si>
    <t>Variation in liquid assets due to ordinary activities</t>
  </si>
  <si>
    <t xml:space="preserve">Änderung der liquiden Mittel wegen der Gewöhnlichen Geschäftstätigkeit </t>
  </si>
  <si>
    <t>Inventory adjustment</t>
  </si>
  <si>
    <t>PROFIT OR LOSS ON FINANCIAL TRANSACTIONS</t>
  </si>
  <si>
    <t>PROFIT OR LOSS ON ORDINARY ACTIVITIES</t>
  </si>
  <si>
    <t>PROFIT OR LOSS ON EXTRAORDINARY ACTIVITIES</t>
  </si>
  <si>
    <t xml:space="preserve">      including: revaluation of intangible assets</t>
  </si>
  <si>
    <t xml:space="preserve">      including: revaluation of financial assets</t>
  </si>
  <si>
    <t>Net sales income</t>
  </si>
  <si>
    <t xml:space="preserve">     12. sorból: kapcsolt vállalkozástól kapott</t>
  </si>
  <si>
    <t>Billig Károlyné</t>
  </si>
  <si>
    <t>166934</t>
  </si>
  <si>
    <t>2011.</t>
  </si>
  <si>
    <t>Änderung der liquiden Mittel wegen der finanzelle Operation</t>
  </si>
  <si>
    <t>Adatok E Ft-ban</t>
  </si>
  <si>
    <t>Sor-szám</t>
  </si>
  <si>
    <t>Előző év(ek) módosításai</t>
  </si>
  <si>
    <t>a</t>
  </si>
  <si>
    <t>b</t>
  </si>
  <si>
    <t>c</t>
  </si>
  <si>
    <t>Own performance capitalized</t>
  </si>
  <si>
    <t>Staff expenses</t>
  </si>
  <si>
    <t>Income from financial transactions</t>
  </si>
  <si>
    <t>Expenses on financial transactions</t>
  </si>
  <si>
    <t>Értékpapírok összesen</t>
  </si>
  <si>
    <t>Adatok Ft-ban</t>
  </si>
  <si>
    <t>Wages and salaries</t>
  </si>
  <si>
    <t>Other employee benefits</t>
  </si>
  <si>
    <t>Contributions on wages and salaries</t>
  </si>
  <si>
    <t xml:space="preserve">    STEMPEL</t>
  </si>
  <si>
    <t>I. Általános kiegészítések</t>
  </si>
  <si>
    <t>Cím</t>
  </si>
  <si>
    <t>Befogadó ország</t>
  </si>
  <si>
    <t>Külföldi gazdálkodásból származó adózott eredmény</t>
  </si>
  <si>
    <t>Külföldön befizetett főbb adók összegei</t>
  </si>
  <si>
    <t>A működéshez tartósan rendelkezésre bocsátott eszközök értéke</t>
  </si>
  <si>
    <t>Devizanem</t>
  </si>
  <si>
    <t>Összeg Devizában</t>
  </si>
  <si>
    <t>Összeg HUF</t>
  </si>
  <si>
    <t>Ország</t>
  </si>
  <si>
    <t>Könyvvizsgálatra kötelezettett?</t>
  </si>
  <si>
    <t xml:space="preserve">Megnevezés </t>
  </si>
  <si>
    <t xml:space="preserve">Adózás előtti eredmény </t>
  </si>
  <si>
    <t xml:space="preserve">Adóalap módosító tételek </t>
  </si>
  <si>
    <t xml:space="preserve">Korábbi évek elhatárolt veszteségéből felhasználás </t>
  </si>
  <si>
    <t xml:space="preserve"> -</t>
  </si>
  <si>
    <t>(A tárgyévi felhasználás után még továbbvihető veszteség)</t>
  </si>
  <si>
    <t xml:space="preserve">Várható kötelezettségekre, költségekre képzett adóévben ráfordításként elszámolt céltartalék </t>
  </si>
  <si>
    <t xml:space="preserve"> +</t>
  </si>
  <si>
    <t>III.B.III.1 Visszavásárolt saját részvények (üzletrészek) adatai</t>
  </si>
  <si>
    <t>(%)</t>
  </si>
  <si>
    <t>Főkönyvi számlaszám/Megnevezés</t>
  </si>
  <si>
    <t>Egyéb részesedés</t>
  </si>
  <si>
    <t>Forgatási célú, hitelviszonyt megtestesítő értékpapír</t>
  </si>
  <si>
    <t>Average collection period (days)</t>
  </si>
  <si>
    <t>Átlagos követelésállomány x 365</t>
  </si>
  <si>
    <t>Average value of receivables x 365</t>
  </si>
  <si>
    <t>(B/II. sor nyitó + záró)/2 x 365</t>
  </si>
  <si>
    <t>Accrued expenses and deferred income</t>
  </si>
  <si>
    <t>TOTAL EQUITIES AND LIABILITIES</t>
  </si>
  <si>
    <t>Current year</t>
  </si>
  <si>
    <t>Fixed assets ratio</t>
  </si>
  <si>
    <t>Current assets ratio</t>
  </si>
  <si>
    <t>Line A</t>
  </si>
  <si>
    <t>Lines A+B+C</t>
  </si>
  <si>
    <t>Calculation:</t>
  </si>
  <si>
    <t>Értékpapírok értékelési különbözete</t>
  </si>
  <si>
    <t>Cím:</t>
  </si>
  <si>
    <t>Regisztrációs szám:</t>
  </si>
  <si>
    <t>Főkönyvi szám</t>
  </si>
  <si>
    <t>II. Tájékoztató kiegészítések</t>
  </si>
  <si>
    <t>III. Mérleghez és eredménykimutatáshoz kapcsolódó kiegészítések</t>
  </si>
  <si>
    <t>Külföldi vevők</t>
  </si>
  <si>
    <t>Követelések egyéb részesedési viszonyban álló vállalkozással szemben</t>
  </si>
  <si>
    <t>Utólagos kalkulációval kerül megállapításra</t>
  </si>
  <si>
    <t>csökkenés:</t>
  </si>
  <si>
    <t>végleges tőkekivonás (nem a saját tőke elemeinek javára)</t>
  </si>
  <si>
    <t>tőkecsökkentés a tőketartalék javára</t>
  </si>
  <si>
    <t>tőkecsökkentés az eredménytartalék javára</t>
  </si>
  <si>
    <t>D.I. JEGYZETT, DE BE NEM FIZETETT TŐKE</t>
  </si>
  <si>
    <t>tőkeemelés előírása</t>
  </si>
  <si>
    <t>tőkeemelés befizetése</t>
  </si>
  <si>
    <t>D+F/I sor+F/IIsor+F/III sor</t>
  </si>
  <si>
    <t>Lines D+F/I+F/II+F/III</t>
  </si>
  <si>
    <t>részvénytársaságnál a részvények kibocsátáskori, ideértve a tőkeemeléskori (jegyzési) ellenértéke és névértéke közötti különbözete</t>
  </si>
  <si>
    <t>Technische Anlagen, Maschinen und Fahrzeuge</t>
  </si>
  <si>
    <t>Sonstige Einrichtungen, Ausrüstungen und Fahrzeuge</t>
  </si>
  <si>
    <t>Zuchttiere</t>
  </si>
  <si>
    <t>Anlagen im Bau und Erneuerungen</t>
  </si>
  <si>
    <t>A vállalkozás megnevezése</t>
  </si>
  <si>
    <t>részvénytársaságon kívüli egyéb vállalkozónál a tulajdonosok (a tagok) által az alapításkor, illetve a tőkeemeléskor tőketartalékként (a jegyzési érték és a névérték különbözeteként) véglegesen átadott eszközök, pénzeszközök értéke</t>
  </si>
  <si>
    <t>a jegyzett tőke leszállítása tőketartalékkal szemben</t>
  </si>
  <si>
    <t>Jelentős</t>
  </si>
  <si>
    <t>Székhely</t>
  </si>
  <si>
    <t>Befektetés megnevezése</t>
  </si>
  <si>
    <t>(50% / 33%) - közös vezetésű</t>
  </si>
  <si>
    <t>Tulajdoni hányad %</t>
  </si>
  <si>
    <t>Szavazati arány %</t>
  </si>
  <si>
    <t>Issued Capital</t>
  </si>
  <si>
    <t>Gezeichnetes Kapital</t>
  </si>
  <si>
    <t>in Tausend HUF</t>
  </si>
  <si>
    <t>(Line F/III/4 opening + closing value)/2 x 365</t>
  </si>
  <si>
    <t>Income Statement Line  IV.</t>
  </si>
  <si>
    <t>a szövetkezeti üzletrészbevonás miatt képzett fel nem osztható vagyon összege</t>
  </si>
  <si>
    <t>a tőketartalékból lekötött tartalék visszavezetett összege a lekötés feloldása alapján</t>
  </si>
  <si>
    <t>a tőketartalék lekötött tartalékba átvezetett összege</t>
  </si>
  <si>
    <t>a pénzmozgással, illetve az eszközmozgással egyidejűleg a jogszabály alapján tőketartalékkal szemben átadott pénzeszközök, eszközök értéke</t>
  </si>
  <si>
    <t>D.IV. EREDMÉNYTARTALÉK</t>
  </si>
  <si>
    <t>Értékesítés elszámolt közvelten költsége</t>
  </si>
  <si>
    <t>Értékesítési, forgalmazási költségek</t>
  </si>
  <si>
    <t>az ellenőrzés előző üzleti év(ek) mérleg szerinti eredményét növelő módosítása (nyeresége)</t>
  </si>
  <si>
    <t>a jegyzett tőke leszállításat az eredménytartalékkal szemben</t>
  </si>
  <si>
    <t>a veszteség miatti negatív eredménytartalék ellentételezésére felhasznált tőketartalék</t>
  </si>
  <si>
    <t xml:space="preserve">     10. sorból: kapcsolt vállalkozástól kapott</t>
  </si>
  <si>
    <t xml:space="preserve">     11. sorból: kapcsolt vállalkozástól kapott</t>
  </si>
  <si>
    <r>
      <t>Terven felüli értékcsökkenés:</t>
    </r>
    <r>
      <rPr>
        <sz val="10"/>
        <rFont val="Arial"/>
        <family val="2"/>
      </rPr>
      <t xml:space="preserve"> elszámolásra kerül sor, ha az immateriális jószág, tágyi eszköz megrongálódott, megsemmisült, hiányzik, illetve selejtezésre került. Valamint akkor, ha a könyv szerinti érték tartósan és jelentősen meghaladja az eszköz piaci értékét</t>
    </r>
  </si>
  <si>
    <t>Számviteli szabályrendszer</t>
  </si>
  <si>
    <t>Nemzetközi Számviteli Standardok</t>
  </si>
  <si>
    <t>2000. évi C. törvény a számvitelről</t>
  </si>
  <si>
    <t>Összevont (konszolidált) éves beszámolók megtekinthetőségének helye</t>
  </si>
  <si>
    <t xml:space="preserve">  Geleistete Anzahlungen für immaterielle Vermögensgegenstände</t>
  </si>
  <si>
    <t xml:space="preserve">  Wertberichtigung der immateriellen Vermögensgegenstände</t>
  </si>
  <si>
    <t xml:space="preserve">  Geleistete Anzahlungen für Investitionen</t>
  </si>
  <si>
    <t xml:space="preserve">  Wertberichtigung der Sachanlagen</t>
  </si>
  <si>
    <t xml:space="preserve">  Wertberichtigung der Finanzanlagen</t>
  </si>
  <si>
    <t>FINANZANLAGEN</t>
  </si>
  <si>
    <t>GEZEICHNETES, ABER NOR NICHT EINGEZAHLTES KAPITAL (-)</t>
  </si>
  <si>
    <t>BEWERTUNGSRÜCKLAGE</t>
  </si>
  <si>
    <t>BILANZERGEBNIS</t>
  </si>
  <si>
    <t>Verbindlichkeiten</t>
  </si>
  <si>
    <t>Forderungen</t>
  </si>
  <si>
    <t>Adóalap növelő tételek:</t>
  </si>
  <si>
    <t>Adóalap csökkentő tételek:</t>
  </si>
  <si>
    <t>Cash Flow Kimutatás</t>
  </si>
  <si>
    <t>Szokásos tevékenységből származó pénzeszköz-változás</t>
  </si>
  <si>
    <t>(Működési cash flow, 1-13. sorok)</t>
  </si>
  <si>
    <t>±</t>
  </si>
  <si>
    <t>Elszámolt amortizáció</t>
  </si>
  <si>
    <t>Céltartalékképzés és felhasználás különbözete</t>
  </si>
  <si>
    <t>Befektetett eszközök értékesítésének eredménye</t>
  </si>
  <si>
    <t>Szállítói kötelezettség változása</t>
  </si>
  <si>
    <t>Construction of capital</t>
  </si>
  <si>
    <t>Current assets</t>
  </si>
  <si>
    <t>Roh-, Hilfs- und Betriebsstoffe</t>
  </si>
  <si>
    <t>Unvollendete Produktion und halbfertige Erzeugnisse</t>
  </si>
  <si>
    <t xml:space="preserve">Az adótörvény szerint: </t>
  </si>
  <si>
    <t xml:space="preserve"> - adóévre elszámolható értékcsökkenés </t>
  </si>
  <si>
    <t xml:space="preserve"> - tárgyi eszköz állományból kivezetett, átsorolt eszköz számított nyilvántartási értéke </t>
  </si>
  <si>
    <t xml:space="preserve">Terven felüli értékcsökkenés visszaírása az adóévben </t>
  </si>
  <si>
    <t xml:space="preserve">Fejlesztési tartalék adóévben képzett összege </t>
  </si>
  <si>
    <t>Egyéb rövid lejáratú kötelezettség változása</t>
  </si>
  <si>
    <t>Passzív időbeli elhatárolások változása</t>
  </si>
  <si>
    <t>Vevőkövetelés változása</t>
  </si>
  <si>
    <t>Forgóeszközök (vevőköv. és pénzeszköz nélkül) változása</t>
  </si>
  <si>
    <t>Aktív időbeli elhatárolások változása</t>
  </si>
  <si>
    <t>Fizetett, fizetendő adó (nyereség után)</t>
  </si>
  <si>
    <t>Fizetett, fizetendő osztalék, részesedés</t>
  </si>
  <si>
    <t>Befektetési tevékenységből származó pénzeszköz-vált.</t>
  </si>
  <si>
    <t>(Befektetési cash flow, 14-16. sorok)</t>
  </si>
  <si>
    <t>Befektetett eszközök beszerzése</t>
  </si>
  <si>
    <t>Befektetett eszközök eladása</t>
  </si>
  <si>
    <t>Kapott osztalék, részesedés</t>
  </si>
  <si>
    <t>(Finanszírozási cash flow, 17-27. sorok)</t>
  </si>
  <si>
    <t>III.B.II</t>
  </si>
  <si>
    <t>III.C</t>
  </si>
  <si>
    <t>III.F</t>
  </si>
  <si>
    <t>L.H.I-VII. Üzemi (üzleti) tevékenység eredménye (összköltséges)</t>
  </si>
  <si>
    <t>I.C Vagyoni, pénzügyi helyzet és a jövedelmezőség alakulása</t>
  </si>
  <si>
    <t>I.B.1. Jelentős befolyással, többségi irányítást biztosító befolyással vagy közvetlen irányítást biztosító befolyással rendelkező tag (részvényes) bemutatása</t>
  </si>
  <si>
    <t>I.B.2. Leányvállalat, közös vezetésű vállalat, társult vállalkozás, egyéb részesedési viszonyban lévő vállalkozás bemutatása</t>
  </si>
  <si>
    <t>II.B.3 Kapcsolt vállalkozásokkal szembeni követelések, kötelezettségek, bevételek</t>
  </si>
  <si>
    <t>L.H.VIII-IX. Pénzügyi műveletek eredménye</t>
  </si>
  <si>
    <t>PÉNZÜGYI MŰVELETEK BEVÉTELEI ÖSSZESEN</t>
  </si>
  <si>
    <t>PÉNZÜGYI MŰVELETEK RÁFORDÍTÁSAI ÖSSZESEN</t>
  </si>
  <si>
    <t>Pénzügyi műveletek eredménye</t>
  </si>
  <si>
    <t>L.H.X-XI. Rendkívüli eredmény</t>
  </si>
  <si>
    <t>Rendkívüli eredmény</t>
  </si>
  <si>
    <t>Műszaki berendezések és gépek</t>
  </si>
  <si>
    <t>Záróállomány az év végén</t>
  </si>
  <si>
    <r>
      <t xml:space="preserve">A </t>
    </r>
    <r>
      <rPr>
        <u val="single"/>
        <sz val="10"/>
        <rFont val="Arial"/>
        <family val="2"/>
      </rPr>
      <t xml:space="preserve">kisérleti fejlesztés tárgyévi költségeit </t>
    </r>
    <r>
      <rPr>
        <sz val="10"/>
        <rFont val="Arial"/>
        <family val="2"/>
      </rPr>
      <t>nem aktiváljuk, a felmerülésük időszakában költségként számoljuk  el.</t>
    </r>
  </si>
  <si>
    <t>II.B.5 Kapcsolt vállalkozásokkal szemben képzett céltartalék</t>
  </si>
  <si>
    <t>Shareholders' Equity and Liabilities</t>
  </si>
  <si>
    <t>Passiva</t>
  </si>
  <si>
    <t>JEGYZETT, DE MÉG BE NEM FIZETETT TŐKE ( - )</t>
  </si>
  <si>
    <t>BALANCE SHEET – version „A”</t>
  </si>
  <si>
    <t>Assets</t>
  </si>
  <si>
    <t>No.</t>
  </si>
  <si>
    <t>Description</t>
  </si>
  <si>
    <t>Previous year</t>
  </si>
  <si>
    <t xml:space="preserve">    Capitalized start-up and restructuring expenses</t>
  </si>
  <si>
    <t xml:space="preserve">    Revaluation of intangible assets</t>
  </si>
  <si>
    <t xml:space="preserve">    Revaluation of tangible assets</t>
  </si>
  <si>
    <t xml:space="preserve">    Revaluation of financial investments</t>
  </si>
  <si>
    <t>EredmÖsszktsg"A"</t>
  </si>
  <si>
    <t>All amounts in HUF thousands</t>
  </si>
  <si>
    <t xml:space="preserve">    Concessions, licenses, trade marks and similar rights and assets</t>
  </si>
  <si>
    <t>Angol</t>
  </si>
  <si>
    <t>Net domestic sales</t>
  </si>
  <si>
    <t xml:space="preserve">Környezetvédelmi kötelezettségekre, erdőfelújítási kötelezettség fedezetére képzett céltartalék </t>
  </si>
  <si>
    <t>Környezetvédelmi kötelezettségekre, erdőfelújítási kötelezettség fedezetére képzett céltartalék</t>
  </si>
  <si>
    <t xml:space="preserve">Adózás alapját képező eredmény </t>
  </si>
  <si>
    <t xml:space="preserve">Számított társasági adó </t>
  </si>
  <si>
    <t>Társasági adó kedvezmény</t>
  </si>
  <si>
    <t xml:space="preserve">Fizetendő társasági adó </t>
  </si>
  <si>
    <t xml:space="preserve">Adózott eredmény </t>
  </si>
  <si>
    <t>Az ellenőrzés során feltárt jelentős összegű hibák hatásai</t>
  </si>
  <si>
    <t>A számviteli alapelvektől nem tértünk el.</t>
  </si>
  <si>
    <t>A számviteli alapelvektől való eltérés ismertetése</t>
  </si>
  <si>
    <t>Lines D+F/I+F/II</t>
  </si>
  <si>
    <t>Equity increase</t>
  </si>
  <si>
    <t>FS format</t>
  </si>
  <si>
    <t>Balance Sheet version</t>
  </si>
  <si>
    <t>Income Statement format</t>
  </si>
  <si>
    <t>Income Statement version</t>
  </si>
  <si>
    <t>Kiegészítő melléklet</t>
  </si>
  <si>
    <t>Supplementary Notes</t>
  </si>
  <si>
    <t>Székhely:</t>
  </si>
  <si>
    <t>Internetes honlap címe:</t>
  </si>
  <si>
    <t>Működési forma:</t>
  </si>
  <si>
    <t>Alapítás, alakulás időpontja:</t>
  </si>
  <si>
    <t>A beszámoló összeállításáért felelős személy nyilvános adatai:</t>
  </si>
  <si>
    <t>Fő tevékenységi kör</t>
  </si>
  <si>
    <t>Eszközök</t>
  </si>
  <si>
    <t xml:space="preserve">1. Befektetett eszközök: </t>
  </si>
  <si>
    <t>Bekerülés értéken értékeljük, csökkentve az elszámolt terv szerinti és terven felüli értékcsökkenéssel, és növelve a terven felüli értékcsökkenés visszaírt összegével.</t>
  </si>
  <si>
    <t>2. Készletek:</t>
  </si>
  <si>
    <t>Bekerülési értéken, az elszámolt értékvesztéssel csökkentett, az értékvesztés visszaírt összegével növelt könyv szerinti értéken. Év közben folyamatos értéknyílvántartás:</t>
  </si>
  <si>
    <t>Bekerülési érték meghatározása</t>
  </si>
  <si>
    <t>Vásárolt készleteknél</t>
  </si>
  <si>
    <t>A saját előállítású készleteknél</t>
  </si>
  <si>
    <t xml:space="preserve">3. Követelések: </t>
  </si>
  <si>
    <t>Az elfogadott, elismret összegben, csökkentve az elszámolt értékvesztéssel és növelve a visszaírt értékvesztés összegével</t>
  </si>
  <si>
    <t xml:space="preserve">4. Értékpapírok: </t>
  </si>
  <si>
    <t>Ráfordításként elszámolt bírság és jogkövetkezménye (késedelmi kamat)</t>
  </si>
  <si>
    <t>Értékcsökkenés összesen</t>
  </si>
  <si>
    <t>Lineáris</t>
  </si>
  <si>
    <t>50 ezer Ft alatti</t>
  </si>
  <si>
    <t>Terv szerinti összesen</t>
  </si>
  <si>
    <t>I. Immateriális javak</t>
  </si>
  <si>
    <t>1. Alapítás-átszervezés</t>
  </si>
  <si>
    <t>L.B.IV</t>
  </si>
  <si>
    <t>L.C</t>
  </si>
  <si>
    <t>L.F.I</t>
  </si>
  <si>
    <t>L.F.II</t>
  </si>
  <si>
    <t>L.F.III</t>
  </si>
  <si>
    <t>L.G</t>
  </si>
  <si>
    <t>L.H.I-VIIA</t>
  </si>
  <si>
    <t>L.H.VIII-IX</t>
  </si>
  <si>
    <t>L.H.X-XI</t>
  </si>
  <si>
    <t>Bekerülési értéken, illetve a már elszámolt értékvesztéssel csökkentett, az értékvesztés visszaírt összegével növelt könyv szerinti értéken.</t>
  </si>
  <si>
    <t xml:space="preserve">5. Pénzeszközök: </t>
  </si>
  <si>
    <t>a tőkekivonással megvalósított jegyzett tőke leszállításához kapcsolódó - a jegyzett tőke leszállításával arányos - eredménytartalék-kivonás összege</t>
  </si>
  <si>
    <t>a pénzmozgással, illetve az eszközmozgással egyidejűleg a jogszabály alapján eredménytartalékkal szemben átadott pénzeszközök, eszközök értékét.</t>
  </si>
  <si>
    <t>D.V. LEKÖTÖTT TARTALÉK</t>
  </si>
  <si>
    <t>a tőketartalékból lekötött összeg</t>
  </si>
  <si>
    <t>az eredménytartalékból lekötött összeg</t>
  </si>
  <si>
    <t>pótbefizatésként kapott összeg</t>
  </si>
  <si>
    <t>a tőketartalékba visszavezetett összeg</t>
  </si>
  <si>
    <t>az eredménytartalékbba visszavezetett összeg</t>
  </si>
  <si>
    <t>pótbefizatésként kapott összeg visszafizetése</t>
  </si>
  <si>
    <t>D.VI. ÉRTÉKELÉSI TARTALÉK</t>
  </si>
  <si>
    <t>eszközök tárgyévi átértékeléséből adódó növekedés</t>
  </si>
  <si>
    <t>eszközök tárgyévi átértékeléséből adódó csökkenés</t>
  </si>
  <si>
    <t>D.VII. MÉRLEG SZERINTI EREDMÉNY</t>
  </si>
  <si>
    <t>előző évi mérleg szerinti veszteség átvezetése eredménytartalékba</t>
  </si>
  <si>
    <t>tárgyévi nyereség</t>
  </si>
  <si>
    <t>Előkészítés</t>
  </si>
  <si>
    <t xml:space="preserve"> I:/Bilance/Bilance2005/_Sablon könyvtárból a  I:/Bilance/Bilance2005/"Cégnév" könyvtárba</t>
  </si>
  <si>
    <r>
      <t xml:space="preserve">Másoljuk a  </t>
    </r>
    <r>
      <rPr>
        <b/>
        <sz val="10"/>
        <rFont val="Arial CE"/>
        <family val="0"/>
      </rPr>
      <t xml:space="preserve">Merleg_leltar.xls </t>
    </r>
    <r>
      <rPr>
        <sz val="10"/>
        <rFont val="Arial CE"/>
        <family val="0"/>
      </rPr>
      <t>és a</t>
    </r>
    <r>
      <rPr>
        <b/>
        <sz val="10"/>
        <rFont val="Arial CE"/>
        <family val="0"/>
      </rPr>
      <t xml:space="preserve"> _BESZÁMOLÓ 2005.xls</t>
    </r>
    <r>
      <rPr>
        <sz val="10"/>
        <rFont val="Arial CE"/>
        <family val="0"/>
      </rPr>
      <t xml:space="preserve"> fájlt az</t>
    </r>
  </si>
  <si>
    <t>A forintban teljesítendő kötelezettséget az elismert összegben, a devizában fennálló kötelezettséget a XII. 31-i MNB árfolyamra átszámított könyv szerinti értéken mutatjuk ki.</t>
  </si>
  <si>
    <t xml:space="preserve">10. Passzív időbeli elhatárolások: </t>
  </si>
  <si>
    <t>A/III.    8. Befektetett pénzügyi eszközök értékelési különbözete</t>
  </si>
  <si>
    <t>B/II.     6. Követelések értékelési különbözete</t>
  </si>
  <si>
    <t xml:space="preserve">           7. Származékos ügyletek pozitív értékelési különbözete</t>
  </si>
  <si>
    <t>III.B.III.2 Átváltoztatható kötvényekkel kapcsolatos adatok</t>
  </si>
  <si>
    <t>Befektetett eszközök aránya</t>
  </si>
  <si>
    <t>Saját tőke növekedési mutató</t>
  </si>
  <si>
    <t xml:space="preserve">Összes eszköz megtérülési mutatója </t>
  </si>
  <si>
    <t xml:space="preserve">          10. Származékos ügyletek negatív értékelési különbözete</t>
  </si>
  <si>
    <t>Eredménykimutatás</t>
  </si>
  <si>
    <t>17.     Ebből értékelési különbözet</t>
  </si>
  <si>
    <t>21.     Ebből értékelési különbözet</t>
  </si>
  <si>
    <t>A kintlévőségek (vevők) átlagos időtartama napban</t>
  </si>
  <si>
    <t>A szállítói tartozások átlagos időtartama napban</t>
  </si>
  <si>
    <t>Jövedelmezőségi helyzet vizsgálata</t>
  </si>
  <si>
    <t xml:space="preserve">Értékesítés elszámolt közvetlen önköltsége </t>
  </si>
  <si>
    <t>(76%-) - közvetlen irányítás, leányvállalat</t>
  </si>
  <si>
    <t>(51%-75%) - többségi irányítás, leányvállalat</t>
  </si>
  <si>
    <t>(25%-50%)  - kapcsolt vállalkozás, jelentős befolyással</t>
  </si>
  <si>
    <t>76%-) - kapcsolt vállalkozás többségi, közvetlen irányítással- anyavállalat</t>
  </si>
  <si>
    <t>Eredménytartalékból lekötött (b)</t>
  </si>
  <si>
    <t>Pótbefizetés kapott összege ©</t>
  </si>
  <si>
    <t>Változás oka</t>
  </si>
  <si>
    <t>D/I.Jegyzett tőke</t>
  </si>
  <si>
    <t>D/II. Jegyzett de be nem fizetett tőke</t>
  </si>
  <si>
    <t>D/III. Tőketartalék</t>
  </si>
  <si>
    <t>D/IV. Eredménytartalék</t>
  </si>
  <si>
    <t>D/V. Lekötött tartalék</t>
  </si>
  <si>
    <t>D/VI. Értékelési tartalék</t>
  </si>
  <si>
    <t>D/VII. Mérleg szerinti eredmény</t>
  </si>
  <si>
    <t>Típusa</t>
  </si>
  <si>
    <t>Száma db</t>
  </si>
  <si>
    <t>Névértéke Ft/db</t>
  </si>
  <si>
    <t>Száma</t>
  </si>
  <si>
    <t>Záró érték</t>
  </si>
  <si>
    <t>Alkalmazott elv/módszer</t>
  </si>
  <si>
    <t>Vagyon értékű jogok</t>
  </si>
  <si>
    <t>Ingatlanok</t>
  </si>
  <si>
    <t>Műszaki berendezések</t>
  </si>
  <si>
    <t>Egyéb berendezések</t>
  </si>
  <si>
    <t>Tartós tul. Részesedést jel. Befektetések</t>
  </si>
  <si>
    <t>Képzett céltartalék, illetve annak felhasználása</t>
  </si>
  <si>
    <t>Jelentős eltérés oka</t>
  </si>
  <si>
    <t>Felhasználás</t>
  </si>
  <si>
    <t>Nem jelentős</t>
  </si>
  <si>
    <t>Garanciális kötelezettségekre</t>
  </si>
  <si>
    <t>Kezességvállalásra</t>
  </si>
  <si>
    <t>Opciós ügyletekre</t>
  </si>
  <si>
    <t>Nem valódi penziós ügyletekre</t>
  </si>
  <si>
    <t>Le nem zárt peres ügyekre</t>
  </si>
  <si>
    <t>Váltókötelezettségekre</t>
  </si>
  <si>
    <t>Egyéb függő kötelezettségekre</t>
  </si>
  <si>
    <t>Határidős ügyletekre</t>
  </si>
  <si>
    <t>SWAP ügyletekre</t>
  </si>
  <si>
    <t>Korengedményes nyugdíjra</t>
  </si>
  <si>
    <t>Végkielégítés fedezetére</t>
  </si>
  <si>
    <t>Környezetvédelmi kötelezettségekre</t>
  </si>
  <si>
    <t>Egyéb biztos kötelezettségekre</t>
  </si>
  <si>
    <t>Fenntartási költségekre</t>
  </si>
  <si>
    <t>Átszervezési költségekre</t>
  </si>
  <si>
    <t>Környezetvédelmet szolgáló</t>
  </si>
  <si>
    <t>Beruházási hitel nem realizált árfolyamnyeresége miatt</t>
  </si>
  <si>
    <t>Egyéb</t>
  </si>
  <si>
    <t>Elszámolt költség</t>
  </si>
  <si>
    <t>Céltartalék képzés</t>
  </si>
  <si>
    <t>Főkönyvi számlaszám / Megnevezés</t>
  </si>
  <si>
    <t>Tartós kötelezettségek egyéb részesedési viszonyban lévő vállalkozással szemben</t>
  </si>
</sst>
</file>

<file path=xl/styles.xml><?xml version="1.0" encoding="utf-8"?>
<styleSheet xmlns="http://schemas.openxmlformats.org/spreadsheetml/2006/main">
  <numFmts count="6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quot;$&quot;* #,##0.00_);_(&quot;$&quot;* \(#,##0.00\);_(&quot;$&quot;* &quot;-&quot;??_);_(@_)"/>
    <numFmt numFmtId="165" formatCode="###\ ###\ ###\ ##0"/>
    <numFmt numFmtId="166" formatCode="_-* #,##0\ _F_t_-;\-* #,##0\ _F_t_-;_-* &quot;-&quot;??\ _F_t_-;_-@_-"/>
    <numFmt numFmtId="167" formatCode="00000000\-0\-00"/>
    <numFmt numFmtId="168" formatCode="[$-409]mmmm\ d\,\ yyyy;@"/>
    <numFmt numFmtId="169" formatCode="\-\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 #,##0.00_);_(* \(#,##0.00\);_(* &quot;-&quot;??_);_(@_)"/>
    <numFmt numFmtId="177" formatCode="&quot;Igen&quot;;&quot;Igen&quot;;&quot;Nem&quot;"/>
    <numFmt numFmtId="178" formatCode="&quot;Igaz&quot;;&quot;Igaz&quot;;&quot;Hamis&quot;"/>
    <numFmt numFmtId="179" formatCode="&quot;Be&quot;;&quot;Be&quot;;&quot;Ki&quot;"/>
    <numFmt numFmtId="180" formatCode="0.0"/>
    <numFmt numFmtId="181" formatCode="#&quot; eFt&quot;"/>
    <numFmt numFmtId="182" formatCode="&quot;-&quot;\l"/>
    <numFmt numFmtId="183" formatCode="&quot;-&quot;#"/>
    <numFmt numFmtId="184" formatCode="#&quot;-&quot;#"/>
    <numFmt numFmtId="185" formatCode="_-* #,##0\ _F_t_._-;\-* #,##0\ _F_t_._-;_-* &quot;-&quot;??\ _F_t_._-;_-@_-"/>
    <numFmt numFmtId="186" formatCode="_-* #,##0.0\ _F_t_._-;\-* #,##0.0\ _F_t_._-;_-* &quot;-&quot;??\ _F_t_._-;_-@_-"/>
    <numFmt numFmtId="187" formatCode="_-* #,##0.0\ _F_t_-;\-* #,##0.0\ _F_t_-;_-* &quot;-&quot;??\ _F_t_-;_-@_-"/>
    <numFmt numFmtId="188" formatCode="m\.\ d\."/>
    <numFmt numFmtId="189" formatCode="yyyy/\ mmm/\ d\."/>
    <numFmt numFmtId="190" formatCode="&quot;Yes&quot;;&quot;Yes&quot;;&quot;No&quot;"/>
    <numFmt numFmtId="191" formatCode="&quot;True&quot;;&quot;True&quot;;&quot;False&quot;"/>
    <numFmt numFmtId="192" formatCode="&quot;On&quot;;&quot;On&quot;;&quot;Off&quot;"/>
    <numFmt numFmtId="193" formatCode="[$€-2]\ #,##0.00_);[Red]\([$€-2]\ #,##0.00\)"/>
    <numFmt numFmtId="194" formatCode=";;;"/>
    <numFmt numFmtId="195" formatCode="000\-00\-0000"/>
    <numFmt numFmtId="196" formatCode="#,##0.00\ &quot;Ft&quot;"/>
    <numFmt numFmtId="197" formatCode="[$-40E]yyyy\.\ mmmm\ d\."/>
    <numFmt numFmtId="198" formatCode="000000\-0\-00"/>
    <numFmt numFmtId="199" formatCode="0_-"/>
    <numFmt numFmtId="200" formatCode="0,00?%_-"/>
    <numFmt numFmtId="201" formatCode="mmm\-yy"/>
    <numFmt numFmtId="202" formatCode="0.0%"/>
    <numFmt numFmtId="203" formatCode="yyyy\.mm\.dd"/>
    <numFmt numFmtId="204" formatCode="yyyy\.mm\.dd;@"/>
    <numFmt numFmtId="205" formatCode="#,##0_ ;\-#,##0\ "/>
    <numFmt numFmtId="206" formatCode="0.000000%"/>
    <numFmt numFmtId="207" formatCode="mmm/yyyy"/>
    <numFmt numFmtId="208" formatCode="0.0000%"/>
    <numFmt numFmtId="209" formatCode="#,##0.000000"/>
    <numFmt numFmtId="210" formatCode="#,##0.0000"/>
    <numFmt numFmtId="211" formatCode="#,##0.00000"/>
    <numFmt numFmtId="212" formatCode="#,##0\ &quot;Ft&quot;"/>
    <numFmt numFmtId="213" formatCode="#,##0.0"/>
    <numFmt numFmtId="214" formatCode="_-* #,##0.00\ _F_t_._-;\-* #,##0.00\ _F_t_._-;_-* &quot;-&quot;??\ _F_t_._-;_-@_-"/>
    <numFmt numFmtId="215" formatCode="#,##0\ _F_t"/>
    <numFmt numFmtId="216" formatCode="#&quot; &quot;??/100"/>
    <numFmt numFmtId="217" formatCode="&quot;H-&quot;0000"/>
    <numFmt numFmtId="218" formatCode="#,##0.00\ _F_t"/>
    <numFmt numFmtId="219" formatCode="yyyy/mm/dd;@"/>
    <numFmt numFmtId="220" formatCode="#,##0.00_ ;\-#,##0.00\ "/>
  </numFmts>
  <fonts count="88">
    <font>
      <sz val="10"/>
      <name val="Arial CE"/>
      <family val="0"/>
    </font>
    <font>
      <b/>
      <sz val="10"/>
      <name val="Arial CE"/>
      <family val="0"/>
    </font>
    <font>
      <i/>
      <sz val="10"/>
      <name val="Arial CE"/>
      <family val="0"/>
    </font>
    <font>
      <b/>
      <i/>
      <sz val="10"/>
      <name val="Arial CE"/>
      <family val="0"/>
    </font>
    <font>
      <sz val="10"/>
      <name val="MS Sans Serif"/>
      <family val="0"/>
    </font>
    <font>
      <b/>
      <sz val="16"/>
      <name val="Arial CE"/>
      <family val="0"/>
    </font>
    <font>
      <b/>
      <sz val="12"/>
      <name val="Arial CE"/>
      <family val="0"/>
    </font>
    <font>
      <b/>
      <sz val="11"/>
      <name val="Arial CE"/>
      <family val="0"/>
    </font>
    <font>
      <b/>
      <sz val="20"/>
      <name val="Arial CE"/>
      <family val="0"/>
    </font>
    <font>
      <sz val="8"/>
      <name val="Arial CE"/>
      <family val="0"/>
    </font>
    <font>
      <b/>
      <sz val="22"/>
      <name val="Arial CE"/>
      <family val="0"/>
    </font>
    <font>
      <b/>
      <sz val="8"/>
      <name val="Arial CE"/>
      <family val="0"/>
    </font>
    <font>
      <u val="single"/>
      <sz val="10"/>
      <name val="Arial CE"/>
      <family val="2"/>
    </font>
    <font>
      <b/>
      <sz val="8.5"/>
      <name val="MS Sans Serif"/>
      <family val="0"/>
    </font>
    <font>
      <sz val="12"/>
      <name val="Times New Roman CE"/>
      <family val="0"/>
    </font>
    <font>
      <b/>
      <sz val="12"/>
      <name val="Times New Roman CE"/>
      <family val="0"/>
    </font>
    <font>
      <sz val="12"/>
      <name val="Arial CE"/>
      <family val="2"/>
    </font>
    <font>
      <b/>
      <sz val="9"/>
      <name val="Arial CE"/>
      <family val="2"/>
    </font>
    <font>
      <b/>
      <sz val="14"/>
      <name val="Times New Roman CE"/>
      <family val="1"/>
    </font>
    <font>
      <sz val="9"/>
      <name val="Arial CE"/>
      <family val="2"/>
    </font>
    <font>
      <u val="single"/>
      <sz val="10"/>
      <color indexed="12"/>
      <name val="Arial CE"/>
      <family val="0"/>
    </font>
    <font>
      <u val="single"/>
      <sz val="10"/>
      <color indexed="36"/>
      <name val="Arial CE"/>
      <family val="0"/>
    </font>
    <font>
      <b/>
      <sz val="14"/>
      <name val="Arial CE"/>
      <family val="2"/>
    </font>
    <font>
      <i/>
      <sz val="12"/>
      <name val="Arial CE"/>
      <family val="0"/>
    </font>
    <font>
      <sz val="12"/>
      <name val="Times New Roman"/>
      <family val="1"/>
    </font>
    <font>
      <sz val="9"/>
      <name val="Arial Narrow"/>
      <family val="0"/>
    </font>
    <font>
      <sz val="8"/>
      <name val="Tahoma"/>
      <family val="0"/>
    </font>
    <font>
      <b/>
      <sz val="8"/>
      <name val="Tahoma"/>
      <family val="0"/>
    </font>
    <font>
      <b/>
      <sz val="10"/>
      <name val="Arial"/>
      <family val="2"/>
    </font>
    <font>
      <sz val="10"/>
      <name val="Arial"/>
      <family val="2"/>
    </font>
    <font>
      <b/>
      <sz val="12"/>
      <name val="Arial"/>
      <family val="2"/>
    </font>
    <font>
      <b/>
      <i/>
      <sz val="12"/>
      <name val="Times New Roman CE"/>
      <family val="0"/>
    </font>
    <font>
      <b/>
      <sz val="11"/>
      <color indexed="8"/>
      <name val="Arial"/>
      <family val="2"/>
    </font>
    <font>
      <sz val="10"/>
      <color indexed="8"/>
      <name val="Arial"/>
      <family val="2"/>
    </font>
    <font>
      <b/>
      <sz val="16"/>
      <name val="Arial"/>
      <family val="2"/>
    </font>
    <font>
      <b/>
      <sz val="10"/>
      <color indexed="8"/>
      <name val="Arial"/>
      <family val="2"/>
    </font>
    <font>
      <b/>
      <sz val="18"/>
      <name val="MSTEPHENS"/>
      <family val="0"/>
    </font>
    <font>
      <sz val="20"/>
      <name val="Arial CE"/>
      <family val="0"/>
    </font>
    <font>
      <sz val="12"/>
      <name val="Arial"/>
      <family val="2"/>
    </font>
    <font>
      <b/>
      <sz val="8.5"/>
      <name val="Arial"/>
      <family val="2"/>
    </font>
    <font>
      <i/>
      <sz val="8.5"/>
      <name val="Arial"/>
      <family val="2"/>
    </font>
    <font>
      <i/>
      <sz val="10"/>
      <name val="Arial"/>
      <family val="2"/>
    </font>
    <font>
      <b/>
      <sz val="13"/>
      <name val="Arial"/>
      <family val="2"/>
    </font>
    <font>
      <b/>
      <u val="single"/>
      <sz val="10"/>
      <name val="Arial"/>
      <family val="2"/>
    </font>
    <font>
      <b/>
      <u val="single"/>
      <sz val="11"/>
      <name val="Arial"/>
      <family val="2"/>
    </font>
    <font>
      <u val="single"/>
      <sz val="10"/>
      <name val="Arial"/>
      <family val="2"/>
    </font>
    <font>
      <b/>
      <sz val="11"/>
      <name val="Arial"/>
      <family val="2"/>
    </font>
    <font>
      <b/>
      <sz val="14"/>
      <name val="Arial"/>
      <family val="2"/>
    </font>
    <font>
      <b/>
      <sz val="8"/>
      <name val="Arial"/>
      <family val="2"/>
    </font>
    <font>
      <b/>
      <sz val="16"/>
      <color indexed="8"/>
      <name val="Arial"/>
      <family val="2"/>
    </font>
    <font>
      <b/>
      <sz val="10"/>
      <name val="Lucida Console"/>
      <family val="3"/>
    </font>
    <font>
      <sz val="8.5"/>
      <name val="Arial"/>
      <family val="2"/>
    </font>
    <font>
      <b/>
      <sz val="10"/>
      <name val="Symbol"/>
      <family val="1"/>
    </font>
    <font>
      <b/>
      <sz val="10"/>
      <name val="Times New Roman"/>
      <family val="1"/>
    </font>
    <font>
      <sz val="10"/>
      <name val="Times New Roman"/>
      <family val="1"/>
    </font>
    <font>
      <sz val="13"/>
      <name val="Arial"/>
      <family val="2"/>
    </font>
    <font>
      <sz val="11"/>
      <color indexed="56"/>
      <name val="Garamond"/>
      <family val="1"/>
    </font>
    <font>
      <sz val="11"/>
      <name val="Arial"/>
      <family val="2"/>
    </font>
    <font>
      <i/>
      <sz val="8.5"/>
      <name val="Arial CE"/>
      <family val="0"/>
    </font>
    <font>
      <b/>
      <sz val="8.5"/>
      <name val="Arial CE"/>
      <family val="0"/>
    </font>
    <font>
      <b/>
      <sz val="9"/>
      <name val="Arial"/>
      <family val="2"/>
    </font>
    <font>
      <sz val="9"/>
      <name val="Arial"/>
      <family val="2"/>
    </font>
    <font>
      <b/>
      <sz val="12"/>
      <color indexed="8"/>
      <name val="Arial"/>
      <family val="2"/>
    </font>
    <font>
      <b/>
      <u val="single"/>
      <sz val="12"/>
      <color indexed="8"/>
      <name val="Arial"/>
      <family val="2"/>
    </font>
    <font>
      <b/>
      <u val="single"/>
      <sz val="13"/>
      <name val="Arial"/>
      <family val="2"/>
    </font>
    <font>
      <b/>
      <u val="single"/>
      <sz val="8.5"/>
      <name val="Arial"/>
      <family val="2"/>
    </font>
    <font>
      <sz val="10"/>
      <color indexed="9"/>
      <name val="Arial"/>
      <family val="2"/>
    </font>
    <font>
      <sz val="12"/>
      <color indexed="9"/>
      <name val="Times New Roman"/>
      <family val="1"/>
    </font>
    <font>
      <sz val="8"/>
      <name val="Arial"/>
      <family val="2"/>
    </font>
    <font>
      <b/>
      <u val="single"/>
      <sz val="13"/>
      <color indexed="8"/>
      <name val="Arial"/>
      <family val="2"/>
    </font>
    <font>
      <sz val="14"/>
      <name val="Arial"/>
      <family val="2"/>
    </font>
    <font>
      <b/>
      <i/>
      <sz val="13"/>
      <name val="Arial"/>
      <family val="2"/>
    </font>
    <font>
      <sz val="8"/>
      <color indexed="9"/>
      <name val="Arial"/>
      <family val="2"/>
    </font>
    <font>
      <i/>
      <sz val="8"/>
      <name val="Arial"/>
      <family val="2"/>
    </font>
    <font>
      <b/>
      <sz val="11"/>
      <color indexed="10"/>
      <name val="Arial"/>
      <family val="2"/>
    </font>
    <font>
      <sz val="10"/>
      <color indexed="9"/>
      <name val="Arial CE"/>
      <family val="0"/>
    </font>
    <font>
      <b/>
      <sz val="20"/>
      <color indexed="10"/>
      <name val="Arial"/>
      <family val="2"/>
    </font>
    <font>
      <b/>
      <i/>
      <sz val="14"/>
      <name val="Arial"/>
      <family val="2"/>
    </font>
    <font>
      <sz val="10"/>
      <color indexed="10"/>
      <name val="Arial"/>
      <family val="2"/>
    </font>
    <font>
      <b/>
      <sz val="10"/>
      <color indexed="10"/>
      <name val="Arial"/>
      <family val="2"/>
    </font>
    <font>
      <sz val="10"/>
      <color indexed="9"/>
      <name val="Times New Roman"/>
      <family val="1"/>
    </font>
    <font>
      <b/>
      <sz val="14"/>
      <color indexed="10"/>
      <name val="Arial"/>
      <family val="2"/>
    </font>
    <font>
      <b/>
      <sz val="16"/>
      <color indexed="10"/>
      <name val="Arial"/>
      <family val="2"/>
    </font>
    <font>
      <sz val="8"/>
      <color indexed="10"/>
      <name val="Arial"/>
      <family val="2"/>
    </font>
    <font>
      <b/>
      <sz val="13"/>
      <color indexed="10"/>
      <name val="Arial"/>
      <family val="2"/>
    </font>
    <font>
      <sz val="16"/>
      <name val="Arial CE"/>
      <family val="0"/>
    </font>
    <font>
      <sz val="14"/>
      <name val="Arial CE"/>
      <family val="0"/>
    </font>
    <font>
      <sz val="11"/>
      <name val="Arial CE"/>
      <family val="0"/>
    </font>
  </fonts>
  <fills count="17">
    <fill>
      <patternFill/>
    </fill>
    <fill>
      <patternFill patternType="gray125"/>
    </fill>
    <fill>
      <patternFill patternType="solid">
        <fgColor indexed="9"/>
        <bgColor indexed="64"/>
      </patternFill>
    </fill>
    <fill>
      <patternFill patternType="gray0625">
        <fgColor indexed="22"/>
        <bgColor indexed="22"/>
      </patternFill>
    </fill>
    <fill>
      <patternFill patternType="solid">
        <fgColor indexed="22"/>
        <bgColor indexed="64"/>
      </patternFill>
    </fill>
    <fill>
      <patternFill patternType="solid">
        <fgColor indexed="22"/>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mediumGray">
        <fgColor indexed="26"/>
        <bgColor indexed="47"/>
      </patternFill>
    </fill>
    <fill>
      <patternFill patternType="solid">
        <fgColor indexed="42"/>
        <bgColor indexed="64"/>
      </patternFill>
    </fill>
    <fill>
      <patternFill patternType="solid">
        <fgColor indexed="52"/>
        <bgColor indexed="64"/>
      </patternFill>
    </fill>
    <fill>
      <patternFill patternType="solid">
        <fgColor indexed="40"/>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4"/>
        <bgColor indexed="64"/>
      </patternFill>
    </fill>
  </fills>
  <borders count="243">
    <border>
      <left/>
      <right/>
      <top/>
      <bottom/>
      <diagonal/>
    </border>
    <border>
      <left style="medium"/>
      <right>
        <color indexed="63"/>
      </right>
      <top>
        <color indexed="63"/>
      </top>
      <bottom style="medium"/>
    </border>
    <border>
      <left style="medium"/>
      <right style="medium"/>
      <top style="medium"/>
      <bottom style="hair"/>
    </border>
    <border>
      <left>
        <color indexed="63"/>
      </left>
      <right>
        <color indexed="63"/>
      </right>
      <top style="medium"/>
      <bottom style="medium"/>
    </border>
    <border>
      <left>
        <color indexed="63"/>
      </left>
      <right>
        <color indexed="63"/>
      </right>
      <top style="medium"/>
      <bottom style="hair"/>
    </border>
    <border>
      <left style="medium"/>
      <right>
        <color indexed="63"/>
      </right>
      <top style="medium"/>
      <bottom style="hair"/>
    </border>
    <border>
      <left style="medium"/>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color indexed="63"/>
      </right>
      <top>
        <color indexed="63"/>
      </top>
      <bottom style="hair"/>
    </border>
    <border>
      <left style="medium"/>
      <right>
        <color indexed="63"/>
      </right>
      <top style="medium"/>
      <bottom style="medium"/>
    </border>
    <border>
      <left>
        <color indexed="63"/>
      </left>
      <right>
        <color indexed="63"/>
      </right>
      <top>
        <color indexed="63"/>
      </top>
      <bottom style="hair"/>
    </border>
    <border>
      <left style="medium"/>
      <right style="medium"/>
      <top style="medium"/>
      <bottom style="medium"/>
    </border>
    <border>
      <left style="thin"/>
      <right>
        <color indexed="63"/>
      </right>
      <top>
        <color indexed="63"/>
      </top>
      <bottom style="medium"/>
    </border>
    <border>
      <left style="thin"/>
      <right style="thin"/>
      <top>
        <color indexed="63"/>
      </top>
      <bottom style="medium"/>
    </border>
    <border>
      <left style="medium"/>
      <right style="thin"/>
      <top style="medium"/>
      <bottom>
        <color indexed="63"/>
      </bottom>
    </border>
    <border>
      <left style="medium"/>
      <right style="thin"/>
      <top style="thin"/>
      <bottom>
        <color indexed="63"/>
      </bottom>
    </border>
    <border>
      <left style="medium"/>
      <right style="medium"/>
      <top style="hair"/>
      <bottom style="hair"/>
    </border>
    <border>
      <left>
        <color indexed="63"/>
      </left>
      <right>
        <color indexed="63"/>
      </right>
      <top style="hair"/>
      <bottom style="hair"/>
    </border>
    <border>
      <left>
        <color indexed="63"/>
      </left>
      <right>
        <color indexed="63"/>
      </right>
      <top style="thin"/>
      <bottom style="thin"/>
    </border>
    <border>
      <left style="medium"/>
      <right style="medium"/>
      <top style="hair"/>
      <bottom>
        <color indexed="63"/>
      </bottom>
    </border>
    <border>
      <left>
        <color indexed="63"/>
      </left>
      <right>
        <color indexed="63"/>
      </right>
      <top style="hair"/>
      <bottom>
        <color indexed="63"/>
      </bottom>
    </border>
    <border>
      <left style="medium"/>
      <right style="medium"/>
      <top>
        <color indexed="63"/>
      </top>
      <bottom style="hair"/>
    </border>
    <border>
      <left style="medium"/>
      <right style="medium"/>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style="thin"/>
      <bottom style="thin"/>
    </border>
    <border>
      <left style="thin"/>
      <right>
        <color indexed="63"/>
      </right>
      <top style="medium"/>
      <bottom style="hair"/>
    </border>
    <border>
      <left style="thin"/>
      <right>
        <color indexed="63"/>
      </right>
      <top style="medium"/>
      <bottom style="medium"/>
    </border>
    <border>
      <left style="thin"/>
      <right>
        <color indexed="63"/>
      </right>
      <top style="thin"/>
      <bottom style="thin"/>
    </border>
    <border>
      <left style="thin"/>
      <right style="hair"/>
      <top style="medium"/>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hair"/>
      <right style="hair"/>
      <top style="medium"/>
      <bottom style="medium"/>
    </border>
    <border>
      <left style="hair"/>
      <right style="hair"/>
      <top style="hair"/>
      <bottom style="hair"/>
    </border>
    <border>
      <left style="medium"/>
      <right style="thin"/>
      <top style="hair"/>
      <bottom style="hair"/>
    </border>
    <border>
      <left style="medium"/>
      <right style="thin"/>
      <top style="hair"/>
      <bottom style="medium"/>
    </border>
    <border>
      <left style="hair"/>
      <right style="hair"/>
      <top>
        <color indexed="63"/>
      </top>
      <bottom>
        <color indexed="63"/>
      </bottom>
    </border>
    <border>
      <left style="hair"/>
      <right>
        <color indexed="63"/>
      </right>
      <top style="hair"/>
      <bottom style="hair"/>
    </border>
    <border>
      <left style="thin"/>
      <right style="medium"/>
      <top>
        <color indexed="63"/>
      </top>
      <bottom style="medium"/>
    </border>
    <border>
      <left style="medium"/>
      <right style="hair"/>
      <top style="medium"/>
      <bottom style="hair"/>
    </border>
    <border>
      <left style="thin"/>
      <right style="hair"/>
      <top style="medium"/>
      <bottom style="hair"/>
    </border>
    <border>
      <left style="medium"/>
      <right style="hair"/>
      <top style="hair"/>
      <bottom style="hair"/>
    </border>
    <border>
      <left style="thin"/>
      <right style="hair"/>
      <top style="hair"/>
      <bottom style="hair"/>
    </border>
    <border>
      <left style="medium"/>
      <right style="hair"/>
      <top style="medium"/>
      <bottom style="medium"/>
    </border>
    <border>
      <left style="thin"/>
      <right>
        <color indexed="63"/>
      </right>
      <top>
        <color indexed="63"/>
      </top>
      <bottom style="hair"/>
    </border>
    <border>
      <left style="hair"/>
      <right style="hair"/>
      <top style="medium"/>
      <bottom style="hair"/>
    </border>
    <border>
      <left style="medium"/>
      <right style="medium"/>
      <top style="thin"/>
      <bottom style="medium"/>
    </border>
    <border>
      <left style="medium"/>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style="hair"/>
    </border>
    <border>
      <left style="thin"/>
      <right style="medium"/>
      <top>
        <color indexed="63"/>
      </top>
      <bottom style="hair"/>
    </border>
    <border>
      <left style="thin"/>
      <right style="medium"/>
      <top style="medium"/>
      <bottom style="hair"/>
    </border>
    <border>
      <left style="thin"/>
      <right style="thin"/>
      <top style="hair"/>
      <bottom style="medium"/>
    </border>
    <border>
      <left style="thin"/>
      <right style="medium"/>
      <top style="hair"/>
      <bottom style="mediu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color indexed="63"/>
      </bottom>
    </border>
    <border>
      <left style="thin"/>
      <right style="thin"/>
      <top style="hair"/>
      <bottom style="hair"/>
    </border>
    <border>
      <left style="medium"/>
      <right style="thin"/>
      <top style="thin"/>
      <bottom style="thin"/>
    </border>
    <border>
      <left style="thin"/>
      <right style="thin"/>
      <top style="hair"/>
      <bottom>
        <color indexed="63"/>
      </bottom>
    </border>
    <border>
      <left style="medium"/>
      <right style="thin"/>
      <top>
        <color indexed="63"/>
      </top>
      <bottom style="hair"/>
    </border>
    <border>
      <left style="medium"/>
      <right style="thin"/>
      <top style="thin"/>
      <bottom style="hair"/>
    </border>
    <border>
      <left style="thin"/>
      <right style="thin"/>
      <top style="thin"/>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hair"/>
      <bottom style="hair"/>
    </border>
    <border>
      <left style="thin"/>
      <right>
        <color indexed="63"/>
      </right>
      <top style="hair"/>
      <bottom style="hair"/>
    </border>
    <border>
      <left style="thin"/>
      <right style="thin"/>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double"/>
    </border>
    <border>
      <left style="thin"/>
      <right style="thin"/>
      <top style="medium"/>
      <bottom style="double"/>
    </border>
    <border>
      <left>
        <color indexed="63"/>
      </left>
      <right>
        <color indexed="63"/>
      </right>
      <top style="medium"/>
      <bottom style="double"/>
    </border>
    <border>
      <left style="thin"/>
      <right style="medium"/>
      <top style="medium"/>
      <bottom style="double"/>
    </border>
    <border>
      <left style="medium"/>
      <right style="thin"/>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style="thin"/>
      <top style="double"/>
      <bottom style="medium"/>
    </border>
    <border>
      <left style="thin"/>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ck"/>
      <right>
        <color indexed="63"/>
      </right>
      <top style="thick"/>
      <bottom style="thin"/>
    </border>
    <border>
      <left style="thick"/>
      <right style="thin"/>
      <top style="thick"/>
      <bottom style="thin"/>
    </border>
    <border>
      <left style="thin"/>
      <right style="thick"/>
      <top style="thick"/>
      <bottom style="thin"/>
    </border>
    <border>
      <left style="thick"/>
      <right>
        <color indexed="63"/>
      </right>
      <top style="thin"/>
      <bottom style="thin"/>
    </border>
    <border>
      <left>
        <color indexed="63"/>
      </left>
      <right style="thick"/>
      <top style="thin"/>
      <bottom style="thin"/>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color indexed="63"/>
      </right>
      <top style="thin"/>
      <bottom style="thick"/>
    </border>
    <border>
      <left style="thick"/>
      <right style="thin"/>
      <top style="thin"/>
      <bottom style="thick"/>
    </border>
    <border>
      <left style="thin"/>
      <right style="thick"/>
      <top style="thin"/>
      <bottom style="thick"/>
    </border>
    <border>
      <left style="thick"/>
      <right style="thin"/>
      <top>
        <color indexed="63"/>
      </top>
      <bottom>
        <color indexed="63"/>
      </bottom>
    </border>
    <border>
      <left style="thin"/>
      <right style="thick"/>
      <top>
        <color indexed="63"/>
      </top>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thin"/>
      <top style="medium"/>
      <bottom style="medium"/>
    </border>
    <border>
      <left>
        <color indexed="63"/>
      </left>
      <right>
        <color indexed="63"/>
      </right>
      <top style="thin"/>
      <bottom>
        <color indexed="63"/>
      </bottom>
    </border>
    <border>
      <left style="medium"/>
      <right style="thin"/>
      <top style="thick"/>
      <bottom style="thin"/>
    </border>
    <border>
      <left style="thin"/>
      <right style="thin"/>
      <top style="thick"/>
      <bottom style="thin"/>
    </border>
    <border>
      <left style="thin"/>
      <right>
        <color indexed="63"/>
      </right>
      <top style="thick"/>
      <bottom style="thin"/>
    </border>
    <border>
      <left style="thick"/>
      <right style="thin"/>
      <top style="thin"/>
      <bottom>
        <color indexed="63"/>
      </bottom>
    </border>
    <border>
      <left style="thick"/>
      <right style="thin"/>
      <top style="thin"/>
      <bottom style="medium"/>
    </border>
    <border>
      <left style="thin"/>
      <right style="thick"/>
      <top style="thin"/>
      <bottom style="medium"/>
    </border>
    <border>
      <left style="medium"/>
      <right style="thin"/>
      <top style="thin"/>
      <bottom style="thick"/>
    </border>
    <border>
      <left style="thin"/>
      <right style="thin"/>
      <top style="thin"/>
      <bottom style="thick"/>
    </border>
    <border>
      <left style="thin"/>
      <right style="medium"/>
      <top style="thin"/>
      <bottom style="thick"/>
    </border>
    <border>
      <left>
        <color indexed="63"/>
      </left>
      <right style="thick"/>
      <top style="thick"/>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n"/>
      <right style="thick"/>
      <top style="thin"/>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medium"/>
      <right style="thin"/>
      <top style="thick"/>
      <bottom style="thick"/>
    </border>
    <border>
      <left>
        <color indexed="63"/>
      </left>
      <right>
        <color indexed="63"/>
      </right>
      <top>
        <color indexed="63"/>
      </top>
      <bottom style="thick"/>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color indexed="63"/>
      </left>
      <right style="medium"/>
      <top style="medium"/>
      <bottom style="medium"/>
    </border>
    <border>
      <left style="thin"/>
      <right>
        <color indexed="63"/>
      </right>
      <top style="thin"/>
      <bottom style="thick"/>
    </border>
    <border>
      <left style="thin"/>
      <right>
        <color indexed="63"/>
      </right>
      <top style="thick"/>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n"/>
      <bottom style="double"/>
    </border>
    <border>
      <left>
        <color indexed="63"/>
      </left>
      <right style="thick"/>
      <top style="thin"/>
      <bottom style="double"/>
    </border>
    <border>
      <left style="thick"/>
      <right style="thin"/>
      <top style="double"/>
      <bottom style="double"/>
    </border>
    <border>
      <left style="thin"/>
      <right style="thick"/>
      <top style="double"/>
      <bottom style="double"/>
    </border>
    <border>
      <left style="thick"/>
      <right>
        <color indexed="63"/>
      </right>
      <top style="double"/>
      <bottom style="thin"/>
    </border>
    <border>
      <left>
        <color indexed="63"/>
      </left>
      <right style="thick"/>
      <top style="double"/>
      <bottom style="thin"/>
    </border>
    <border>
      <left style="thick"/>
      <right style="thin"/>
      <top style="double"/>
      <bottom style="thick"/>
    </border>
    <border>
      <left style="thin"/>
      <right style="thick"/>
      <top style="double"/>
      <bottom style="thick"/>
    </border>
    <border>
      <left>
        <color indexed="63"/>
      </left>
      <right>
        <color indexed="63"/>
      </right>
      <top style="thick"/>
      <bottom style="thin"/>
    </border>
    <border>
      <left style="thick"/>
      <right>
        <color indexed="63"/>
      </right>
      <top style="double"/>
      <bottom style="double"/>
    </border>
    <border>
      <left>
        <color indexed="63"/>
      </left>
      <right style="thick"/>
      <top style="double"/>
      <bottom style="double"/>
    </border>
    <border>
      <left style="thick"/>
      <right style="thin"/>
      <top style="double"/>
      <bottom style="thin"/>
    </border>
    <border>
      <left style="thin"/>
      <right style="thick"/>
      <top style="double"/>
      <bottom style="thin"/>
    </border>
    <border>
      <left style="thick"/>
      <right style="thin"/>
      <top style="thin"/>
      <bottom style="double"/>
    </border>
    <border>
      <left style="thin"/>
      <right style="thick"/>
      <top style="thin"/>
      <bottom style="double"/>
    </border>
    <border>
      <left>
        <color indexed="63"/>
      </left>
      <right>
        <color indexed="63"/>
      </right>
      <top style="double"/>
      <bottom style="double"/>
    </border>
    <border>
      <left style="thick"/>
      <right>
        <color indexed="63"/>
      </right>
      <top style="double"/>
      <bottom style="thick"/>
    </border>
    <border>
      <left>
        <color indexed="63"/>
      </left>
      <right>
        <color indexed="63"/>
      </right>
      <top style="double"/>
      <bottom style="thick"/>
    </border>
    <border>
      <left style="thick"/>
      <right style="thin"/>
      <top style="medium"/>
      <bottom style="thin"/>
    </border>
    <border>
      <left style="thin"/>
      <right style="medium"/>
      <top style="thick"/>
      <bottom style="thick"/>
    </border>
    <border>
      <left>
        <color indexed="63"/>
      </left>
      <right style="thick"/>
      <top style="medium"/>
      <bottom style="thin"/>
    </border>
    <border>
      <left>
        <color indexed="63"/>
      </left>
      <right style="thin"/>
      <top style="thick"/>
      <bottom style="thick"/>
    </border>
    <border>
      <left>
        <color indexed="63"/>
      </left>
      <right style="thick"/>
      <top style="thick"/>
      <bottom style="thick"/>
    </border>
    <border>
      <left style="thin"/>
      <right style="thick"/>
      <top style="medium"/>
      <bottom style="thin"/>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medium"/>
    </border>
    <border>
      <left style="medium"/>
      <right>
        <color indexed="63"/>
      </right>
      <top style="medium"/>
      <bottom>
        <color indexed="63"/>
      </bottom>
    </border>
    <border>
      <left style="thick"/>
      <right>
        <color indexed="63"/>
      </right>
      <top style="medium"/>
      <bottom style="thin"/>
    </border>
    <border>
      <left style="thin"/>
      <right style="medium"/>
      <top style="hair"/>
      <bottom>
        <color indexed="63"/>
      </bottom>
    </border>
    <border>
      <left>
        <color indexed="63"/>
      </left>
      <right style="thick"/>
      <top>
        <color indexed="63"/>
      </top>
      <bottom>
        <color indexed="63"/>
      </bottom>
    </border>
    <border>
      <left>
        <color indexed="63"/>
      </left>
      <right style="thin"/>
      <top style="medium"/>
      <bottom>
        <color indexed="63"/>
      </bottom>
    </border>
    <border>
      <left style="thin"/>
      <right style="thick"/>
      <top style="medium"/>
      <bottom style="medium"/>
    </border>
    <border>
      <left style="thin"/>
      <right style="thick"/>
      <top>
        <color indexed="63"/>
      </top>
      <bottom style="thick"/>
    </border>
    <border>
      <left style="thick"/>
      <right style="thin"/>
      <top style="medium"/>
      <bottom style="medium"/>
    </border>
    <border>
      <left style="thin"/>
      <right style="medium"/>
      <top>
        <color indexed="63"/>
      </top>
      <bottom style="thick"/>
    </border>
    <border>
      <left style="thin"/>
      <right style="thin"/>
      <top>
        <color indexed="63"/>
      </top>
      <bottom style="thick"/>
    </border>
    <border>
      <left style="medium"/>
      <right style="thin"/>
      <top>
        <color indexed="63"/>
      </top>
      <bottom style="thick"/>
    </border>
    <border>
      <left style="thin"/>
      <right>
        <color indexed="63"/>
      </right>
      <top style="medium"/>
      <bottom style="thick"/>
    </border>
    <border>
      <left style="thin"/>
      <right>
        <color indexed="63"/>
      </right>
      <top>
        <color indexed="63"/>
      </top>
      <bottom style="thick"/>
    </border>
    <border>
      <left style="thin"/>
      <right style="medium"/>
      <top style="thin"/>
      <bottom style="hair"/>
    </border>
    <border>
      <left style="thin"/>
      <right style="medium"/>
      <top style="double"/>
      <bottom style="thin"/>
    </border>
    <border>
      <left style="thick"/>
      <right style="medium"/>
      <top style="medium"/>
      <bottom style="medium"/>
    </border>
    <border>
      <left style="medium"/>
      <right style="medium"/>
      <top style="thin"/>
      <bottom>
        <color indexed="63"/>
      </bottom>
    </border>
    <border>
      <left style="thick"/>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ck"/>
      <top style="thick"/>
      <bottom>
        <color indexed="63"/>
      </bottom>
    </border>
    <border>
      <left style="medium"/>
      <right>
        <color indexed="63"/>
      </right>
      <top style="double"/>
      <bottom style="thin"/>
    </border>
    <border>
      <left>
        <color indexed="63"/>
      </left>
      <right style="thin"/>
      <top>
        <color indexed="63"/>
      </top>
      <bottom>
        <color indexed="63"/>
      </bottom>
    </border>
    <border>
      <left style="thin"/>
      <right style="thin"/>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style="double"/>
    </border>
    <border>
      <left style="thick"/>
      <right style="thin"/>
      <top>
        <color indexed="63"/>
      </top>
      <bottom style="thick"/>
    </border>
    <border>
      <left style="thin"/>
      <right style="medium"/>
      <top style="thick"/>
      <bottom style="thin"/>
    </border>
    <border>
      <left style="medium"/>
      <right>
        <color indexed="63"/>
      </right>
      <top style="thick"/>
      <bottom style="thin"/>
    </border>
    <border>
      <left>
        <color indexed="63"/>
      </left>
      <right style="medium"/>
      <top style="thick"/>
      <bottom style="thin"/>
    </border>
    <border>
      <left style="thin"/>
      <right style="thick"/>
      <top>
        <color indexed="63"/>
      </top>
      <bottom style="medium"/>
    </border>
    <border>
      <left style="medium"/>
      <right style="medium"/>
      <top style="medium"/>
      <bottom>
        <color indexed="63"/>
      </bottom>
    </border>
    <border>
      <left>
        <color indexed="63"/>
      </left>
      <right style="thin"/>
      <top style="thick"/>
      <bottom style="thin"/>
    </border>
    <border>
      <left style="thick"/>
      <right>
        <color indexed="63"/>
      </right>
      <top style="medium"/>
      <bottom style="medium"/>
    </border>
    <border>
      <left style="thick"/>
      <right>
        <color indexed="63"/>
      </right>
      <top style="medium"/>
      <bottom style="thick"/>
    </border>
    <border>
      <left>
        <color indexed="63"/>
      </left>
      <right style="medium"/>
      <top style="medium"/>
      <bottom style="thick"/>
    </border>
    <border>
      <left>
        <color indexed="63"/>
      </left>
      <right style="thick"/>
      <top>
        <color indexed="63"/>
      </top>
      <bottom style="medium"/>
    </border>
    <border>
      <left style="thick"/>
      <right>
        <color indexed="63"/>
      </right>
      <top>
        <color indexed="63"/>
      </top>
      <bottom style="thick"/>
    </border>
    <border>
      <left>
        <color indexed="63"/>
      </left>
      <right style="medium"/>
      <top style="thick"/>
      <bottom>
        <color indexed="63"/>
      </bottom>
    </border>
    <border>
      <left>
        <color indexed="63"/>
      </left>
      <right style="medium"/>
      <top>
        <color indexed="63"/>
      </top>
      <bottom style="thick"/>
    </border>
    <border>
      <left>
        <color indexed="63"/>
      </left>
      <right style="medium">
        <color indexed="8"/>
      </right>
      <top style="medium"/>
      <bottom style="thin"/>
    </border>
    <border>
      <left style="medium">
        <color indexed="8"/>
      </left>
      <right>
        <color indexed="63"/>
      </right>
      <top style="medium"/>
      <bottom style="thin"/>
    </border>
    <border>
      <left>
        <color indexed="63"/>
      </left>
      <right style="thick"/>
      <top>
        <color indexed="63"/>
      </top>
      <bottom style="thick"/>
    </border>
    <border>
      <left>
        <color indexed="63"/>
      </left>
      <right style="thick"/>
      <top style="medium"/>
      <bottom style="medium"/>
    </border>
    <border>
      <left>
        <color indexed="63"/>
      </left>
      <right style="thick"/>
      <top style="double"/>
      <bottom style="thick"/>
    </border>
    <border>
      <left style="medium"/>
      <right>
        <color indexed="63"/>
      </right>
      <top style="thick"/>
      <bottom style="thick"/>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9" fillId="0" borderId="0">
      <alignment/>
      <protection/>
    </xf>
    <xf numFmtId="0" fontId="29" fillId="0" borderId="0">
      <alignment/>
      <protection/>
    </xf>
    <xf numFmtId="0" fontId="25" fillId="0" borderId="0">
      <alignment/>
      <protection/>
    </xf>
    <xf numFmtId="0" fontId="0" fillId="0" borderId="0">
      <alignment/>
      <protection/>
    </xf>
    <xf numFmtId="0" fontId="0" fillId="0" borderId="0">
      <alignment/>
      <protection/>
    </xf>
    <xf numFmtId="0" fontId="4" fillId="0" borderId="0">
      <alignment/>
      <protection/>
    </xf>
    <xf numFmtId="0" fontId="29" fillId="0" borderId="0">
      <alignment/>
      <protection/>
    </xf>
    <xf numFmtId="0" fontId="56" fillId="0" borderId="0">
      <alignment horizontal="left" vertical="center"/>
      <protection/>
    </xf>
    <xf numFmtId="0" fontId="29" fillId="0" borderId="0">
      <alignment/>
      <protection/>
    </xf>
    <xf numFmtId="0" fontId="25" fillId="0" borderId="0">
      <alignment/>
      <protection/>
    </xf>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xf numFmtId="164" fontId="29" fillId="0" borderId="0" applyFont="0" applyFill="0" applyBorder="0" applyAlignment="0" applyProtection="0"/>
  </cellStyleXfs>
  <cellXfs count="2566">
    <xf numFmtId="0" fontId="0" fillId="0" borderId="0" xfId="0" applyAlignment="1">
      <alignment/>
    </xf>
    <xf numFmtId="0" fontId="0" fillId="0" borderId="0" xfId="0" applyBorder="1" applyAlignment="1" applyProtection="1">
      <alignment/>
      <protection/>
    </xf>
    <xf numFmtId="0" fontId="0" fillId="0" borderId="1" xfId="0" applyBorder="1" applyAlignment="1" applyProtection="1">
      <alignment horizontal="center" vertical="center"/>
      <protection/>
    </xf>
    <xf numFmtId="0" fontId="0" fillId="0" borderId="0" xfId="0" applyBorder="1" applyAlignment="1" applyProtection="1">
      <alignment/>
      <protection/>
    </xf>
    <xf numFmtId="0" fontId="0" fillId="0" borderId="0" xfId="0" applyAlignment="1" applyProtection="1">
      <alignment/>
      <protection/>
    </xf>
    <xf numFmtId="0" fontId="9" fillId="0" borderId="0" xfId="0" applyFont="1" applyBorder="1" applyAlignment="1" applyProtection="1">
      <alignment horizontal="right" vertical="top"/>
      <protection/>
    </xf>
    <xf numFmtId="0" fontId="1" fillId="0" borderId="2" xfId="0" applyFont="1" applyBorder="1" applyAlignment="1" applyProtection="1">
      <alignment horizontal="center" vertical="center" wrapText="1"/>
      <protection/>
    </xf>
    <xf numFmtId="0" fontId="9" fillId="0" borderId="0" xfId="0" applyFont="1" applyBorder="1" applyAlignment="1" applyProtection="1">
      <alignment horizontal="center" vertical="top"/>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7" fillId="0" borderId="3" xfId="0" applyFont="1" applyBorder="1" applyAlignment="1" applyProtection="1">
      <alignment horizontal="left" vertical="center"/>
      <protection/>
    </xf>
    <xf numFmtId="0" fontId="1" fillId="0" borderId="4" xfId="0" applyFont="1" applyBorder="1" applyAlignment="1" applyProtection="1">
      <alignment horizontal="center" vertical="center"/>
      <protection/>
    </xf>
    <xf numFmtId="0" fontId="1" fillId="0" borderId="5" xfId="0" applyFont="1" applyBorder="1" applyAlignment="1" applyProtection="1">
      <alignment horizontal="center" vertical="center" wrapText="1"/>
      <protection/>
    </xf>
    <xf numFmtId="0" fontId="0" fillId="0" borderId="6" xfId="0"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0" fillId="0" borderId="8" xfId="0"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1" fillId="0" borderId="0" xfId="0" applyFont="1" applyAlignment="1" applyProtection="1">
      <alignment/>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49" fontId="0" fillId="0" borderId="0" xfId="0" applyNumberFormat="1" applyAlignment="1" applyProtection="1">
      <alignment/>
      <protection/>
    </xf>
    <xf numFmtId="0" fontId="0" fillId="0" borderId="12" xfId="0" applyBorder="1" applyAlignment="1" applyProtection="1">
      <alignment/>
      <protection/>
    </xf>
    <xf numFmtId="0" fontId="0" fillId="0" borderId="0" xfId="0" applyAlignment="1" applyProtection="1">
      <alignment horizontal="right"/>
      <protection/>
    </xf>
    <xf numFmtId="49" fontId="0" fillId="0" borderId="12" xfId="0" applyNumberFormat="1" applyBorder="1" applyAlignment="1" applyProtection="1">
      <alignment/>
      <protection/>
    </xf>
    <xf numFmtId="49" fontId="6" fillId="0" borderId="0" xfId="0" applyNumberFormat="1" applyFont="1" applyAlignment="1" applyProtection="1">
      <alignment horizontal="centerContinuous"/>
      <protection/>
    </xf>
    <xf numFmtId="0" fontId="0" fillId="0" borderId="0" xfId="0" applyAlignment="1" applyProtection="1">
      <alignment horizontal="centerContinuous"/>
      <protection/>
    </xf>
    <xf numFmtId="0" fontId="8"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protection/>
    </xf>
    <xf numFmtId="0" fontId="0" fillId="0" borderId="0" xfId="0" applyBorder="1" applyAlignment="1" applyProtection="1" quotePrefix="1">
      <alignment/>
      <protection/>
    </xf>
    <xf numFmtId="49" fontId="12" fillId="0" borderId="0" xfId="0" applyNumberFormat="1" applyFont="1" applyAlignment="1" applyProtection="1">
      <alignment/>
      <protection/>
    </xf>
    <xf numFmtId="0" fontId="0" fillId="0" borderId="13" xfId="0" applyBorder="1" applyAlignment="1" applyProtection="1">
      <alignment vertical="center"/>
      <protection/>
    </xf>
    <xf numFmtId="0" fontId="0" fillId="0" borderId="7" xfId="0" applyBorder="1" applyAlignment="1" applyProtection="1">
      <alignment vertical="center"/>
      <protection/>
    </xf>
    <xf numFmtId="0" fontId="1" fillId="0" borderId="14" xfId="0" applyFont="1" applyBorder="1" applyAlignment="1" applyProtection="1">
      <alignment vertical="center"/>
      <protection/>
    </xf>
    <xf numFmtId="0" fontId="1" fillId="0" borderId="7" xfId="0" applyFont="1" applyBorder="1" applyAlignment="1" applyProtection="1">
      <alignment vertical="center"/>
      <protection/>
    </xf>
    <xf numFmtId="0" fontId="0" fillId="0" borderId="15" xfId="0" applyBorder="1" applyAlignment="1" applyProtection="1">
      <alignment vertical="center"/>
      <protection/>
    </xf>
    <xf numFmtId="0" fontId="0" fillId="0" borderId="0" xfId="0" applyBorder="1" applyAlignment="1" applyProtection="1">
      <alignment vertical="center"/>
      <protection/>
    </xf>
    <xf numFmtId="0" fontId="1" fillId="0" borderId="3"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0" xfId="0" applyBorder="1" applyAlignment="1" applyProtection="1">
      <alignment horizontal="centerContinuous"/>
      <protection/>
    </xf>
    <xf numFmtId="1" fontId="0" fillId="0" borderId="0" xfId="0" applyNumberFormat="1" applyBorder="1" applyAlignment="1" applyProtection="1">
      <alignment horizontal="right" vertical="center"/>
      <protection/>
    </xf>
    <xf numFmtId="1" fontId="0" fillId="0" borderId="0" xfId="0" applyNumberFormat="1" applyBorder="1" applyAlignment="1" applyProtection="1">
      <alignment vertical="center"/>
      <protection/>
    </xf>
    <xf numFmtId="0" fontId="9" fillId="0" borderId="0" xfId="0" applyFont="1" applyAlignment="1" applyProtection="1">
      <alignment horizontal="centerContinuous"/>
      <protection/>
    </xf>
    <xf numFmtId="0" fontId="1" fillId="0" borderId="0" xfId="0" applyFont="1" applyBorder="1" applyAlignment="1" applyProtection="1">
      <alignment horizontal="center"/>
      <protection/>
    </xf>
    <xf numFmtId="49" fontId="0" fillId="0" borderId="0" xfId="0" applyNumberFormat="1" applyAlignment="1" applyProtection="1">
      <alignment horizontal="centerContinuous"/>
      <protection/>
    </xf>
    <xf numFmtId="0" fontId="0" fillId="0" borderId="0" xfId="0" applyAlignment="1" applyProtection="1">
      <alignment vertical="center"/>
      <protection/>
    </xf>
    <xf numFmtId="49" fontId="0" fillId="0" borderId="1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1" fontId="0" fillId="0" borderId="0" xfId="0" applyNumberFormat="1" applyFont="1" applyBorder="1" applyAlignment="1" applyProtection="1">
      <alignment vertical="center"/>
      <protection/>
    </xf>
    <xf numFmtId="0" fontId="1" fillId="0" borderId="3" xfId="0" applyFont="1" applyBorder="1" applyAlignment="1" applyProtection="1">
      <alignment vertical="center"/>
      <protection/>
    </xf>
    <xf numFmtId="0" fontId="0" fillId="4" borderId="0" xfId="0" applyFill="1" applyBorder="1" applyAlignment="1" applyProtection="1">
      <alignment vertical="center"/>
      <protection/>
    </xf>
    <xf numFmtId="0" fontId="0" fillId="3" borderId="7" xfId="0" applyFill="1" applyBorder="1" applyAlignment="1" applyProtection="1">
      <alignment vertical="center"/>
      <protection/>
    </xf>
    <xf numFmtId="0" fontId="0" fillId="0" borderId="17" xfId="0" applyBorder="1" applyAlignment="1" applyProtection="1">
      <alignment horizontal="center" vertical="center"/>
      <protection/>
    </xf>
    <xf numFmtId="0" fontId="0" fillId="2" borderId="0" xfId="0" applyFont="1" applyFill="1" applyAlignment="1" applyProtection="1">
      <alignment/>
      <protection/>
    </xf>
    <xf numFmtId="0" fontId="1" fillId="0" borderId="0" xfId="0" applyFont="1" applyBorder="1" applyAlignment="1" applyProtection="1">
      <alignment vertical="center"/>
      <protection/>
    </xf>
    <xf numFmtId="0" fontId="1" fillId="0" borderId="4" xfId="0" applyFont="1" applyBorder="1" applyAlignment="1" applyProtection="1">
      <alignment horizontal="centerContinuous" vertical="center"/>
      <protection/>
    </xf>
    <xf numFmtId="0" fontId="0" fillId="0" borderId="0" xfId="0" applyBorder="1" applyAlignment="1" applyProtection="1">
      <alignment horizontal="centerContinuous" vertical="center"/>
      <protection/>
    </xf>
    <xf numFmtId="0" fontId="0" fillId="0" borderId="0" xfId="0" applyAlignment="1" applyProtection="1">
      <alignment/>
      <protection/>
    </xf>
    <xf numFmtId="0" fontId="1" fillId="0" borderId="7" xfId="0" applyFont="1" applyBorder="1" applyAlignment="1" applyProtection="1">
      <alignment vertical="center"/>
      <protection/>
    </xf>
    <xf numFmtId="0" fontId="0" fillId="0" borderId="18" xfId="0" applyBorder="1" applyAlignment="1" applyProtection="1">
      <alignment horizontal="center" vertical="center"/>
      <protection/>
    </xf>
    <xf numFmtId="0" fontId="6" fillId="2" borderId="0" xfId="0" applyFont="1" applyFill="1" applyAlignment="1" applyProtection="1">
      <alignment horizontal="centerContinuous"/>
      <protection/>
    </xf>
    <xf numFmtId="0" fontId="0" fillId="2" borderId="0" xfId="0" applyFill="1" applyAlignment="1" applyProtection="1">
      <alignment horizontal="centerContinuous"/>
      <protection/>
    </xf>
    <xf numFmtId="0" fontId="0" fillId="2" borderId="0" xfId="0" applyFill="1" applyAlignment="1" applyProtection="1">
      <alignment/>
      <protection/>
    </xf>
    <xf numFmtId="0" fontId="5" fillId="2" borderId="0" xfId="0" applyFont="1" applyFill="1" applyAlignment="1" applyProtection="1">
      <alignment horizontal="centerContinuous"/>
      <protection/>
    </xf>
    <xf numFmtId="0" fontId="0" fillId="5" borderId="19" xfId="0" applyFill="1" applyBorder="1" applyAlignment="1" applyProtection="1">
      <alignment/>
      <protection/>
    </xf>
    <xf numFmtId="0" fontId="0" fillId="5" borderId="20" xfId="0" applyFill="1" applyBorder="1" applyAlignment="1" applyProtection="1">
      <alignment/>
      <protection/>
    </xf>
    <xf numFmtId="0" fontId="6" fillId="2" borderId="0" xfId="0" applyFont="1" applyFill="1" applyBorder="1" applyAlignment="1" applyProtection="1">
      <alignment horizontal="right"/>
      <protection/>
    </xf>
    <xf numFmtId="49" fontId="0" fillId="2" borderId="0" xfId="0" applyNumberFormat="1" applyFill="1" applyBorder="1" applyAlignment="1" applyProtection="1">
      <alignment/>
      <protection/>
    </xf>
    <xf numFmtId="0" fontId="6" fillId="2" borderId="0" xfId="0" applyFont="1" applyFill="1" applyAlignment="1" applyProtection="1">
      <alignment horizontal="right"/>
      <protection/>
    </xf>
    <xf numFmtId="0" fontId="0" fillId="0" borderId="0" xfId="0" applyFill="1" applyBorder="1" applyAlignment="1" applyProtection="1">
      <alignment horizontal="center" vertical="center"/>
      <protection/>
    </xf>
    <xf numFmtId="0" fontId="9" fillId="0" borderId="0" xfId="0" applyFont="1" applyBorder="1" applyAlignment="1" applyProtection="1">
      <alignment horizontal="right"/>
      <protection/>
    </xf>
    <xf numFmtId="0" fontId="9" fillId="0" borderId="0" xfId="0" applyFont="1" applyBorder="1" applyAlignment="1" applyProtection="1">
      <alignment horizontal="center" vertical="top" wrapText="1"/>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0" xfId="0" applyFont="1" applyAlignment="1" applyProtection="1">
      <alignment vertical="center"/>
      <protection/>
    </xf>
    <xf numFmtId="0" fontId="1"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1" fillId="0" borderId="23" xfId="0" applyFont="1" applyBorder="1" applyAlignment="1" applyProtection="1">
      <alignment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vertical="center"/>
      <protection/>
    </xf>
    <xf numFmtId="0" fontId="0" fillId="0" borderId="2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6" xfId="0" applyFont="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27"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1" fillId="0" borderId="23" xfId="0" applyFont="1" applyBorder="1" applyAlignment="1" applyProtection="1">
      <alignment vertical="center"/>
      <protection/>
    </xf>
    <xf numFmtId="0" fontId="1" fillId="0" borderId="28" xfId="0" applyFont="1" applyBorder="1" applyAlignment="1" applyProtection="1">
      <alignment vertical="center"/>
      <protection/>
    </xf>
    <xf numFmtId="0" fontId="1" fillId="0" borderId="29" xfId="0" applyFont="1" applyBorder="1" applyAlignment="1" applyProtection="1">
      <alignment vertical="center"/>
      <protection/>
    </xf>
    <xf numFmtId="0" fontId="1" fillId="0" borderId="30" xfId="0" applyFont="1" applyBorder="1" applyAlignment="1" applyProtection="1">
      <alignment vertical="center"/>
      <protection/>
    </xf>
    <xf numFmtId="0" fontId="0" fillId="0" borderId="0" xfId="0" applyBorder="1" applyAlignment="1" applyProtection="1">
      <alignment horizontal="left"/>
      <protection/>
    </xf>
    <xf numFmtId="0" fontId="1" fillId="0" borderId="0" xfId="0" applyFont="1" applyBorder="1" applyAlignment="1" applyProtection="1">
      <alignment/>
      <protection/>
    </xf>
    <xf numFmtId="0" fontId="0" fillId="0" borderId="0" xfId="0" applyNumberFormat="1" applyFont="1" applyBorder="1" applyAlignment="1" applyProtection="1">
      <alignment vertical="top"/>
      <protection/>
    </xf>
    <xf numFmtId="49" fontId="6" fillId="0" borderId="0" xfId="0" applyNumberFormat="1" applyFont="1" applyBorder="1" applyAlignment="1" applyProtection="1">
      <alignment horizontal="center" vertical="top"/>
      <protection/>
    </xf>
    <xf numFmtId="0" fontId="0" fillId="0" borderId="0" xfId="0" applyBorder="1" applyAlignment="1" applyProtection="1">
      <alignment vertical="top"/>
      <protection/>
    </xf>
    <xf numFmtId="0" fontId="0" fillId="0" borderId="0" xfId="0" applyAlignment="1" applyProtection="1">
      <alignment vertical="top"/>
      <protection/>
    </xf>
    <xf numFmtId="0" fontId="0" fillId="0" borderId="0" xfId="0" applyFont="1" applyBorder="1" applyAlignment="1" applyProtection="1">
      <alignment vertical="top"/>
      <protection/>
    </xf>
    <xf numFmtId="0" fontId="6" fillId="0" borderId="16" xfId="0" applyFont="1" applyBorder="1" applyAlignment="1" applyProtection="1" quotePrefix="1">
      <alignment horizontal="center" vertical="top"/>
      <protection/>
    </xf>
    <xf numFmtId="0" fontId="10" fillId="0" borderId="0" xfId="0" applyFont="1" applyBorder="1" applyAlignment="1" applyProtection="1" quotePrefix="1">
      <alignment horizontal="center" vertical="top"/>
      <protection/>
    </xf>
    <xf numFmtId="0" fontId="22" fillId="0" borderId="0" xfId="0" applyFont="1" applyBorder="1" applyAlignment="1" applyProtection="1">
      <alignment horizontal="centerContinuous"/>
      <protection/>
    </xf>
    <xf numFmtId="0" fontId="9" fillId="0" borderId="0" xfId="0" applyFont="1" applyBorder="1" applyAlignment="1" applyProtection="1">
      <alignment horizontal="centerContinuous" vertical="top"/>
      <protection/>
    </xf>
    <xf numFmtId="0" fontId="10" fillId="0" borderId="0" xfId="0" applyFont="1" applyBorder="1" applyAlignment="1" applyProtection="1" quotePrefix="1">
      <alignment horizontal="centerContinuous" vertical="center"/>
      <protection/>
    </xf>
    <xf numFmtId="49" fontId="1" fillId="0" borderId="0" xfId="0" applyNumberFormat="1" applyFont="1" applyBorder="1" applyAlignment="1" applyProtection="1">
      <alignment vertical="top"/>
      <protection/>
    </xf>
    <xf numFmtId="1" fontId="0" fillId="0" borderId="0" xfId="0" applyNumberFormat="1" applyBorder="1" applyAlignment="1" applyProtection="1">
      <alignment vertical="center"/>
      <protection locked="0"/>
    </xf>
    <xf numFmtId="49" fontId="0" fillId="3" borderId="7" xfId="0" applyNumberFormat="1" applyFill="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49" fontId="0" fillId="4" borderId="7" xfId="0" applyNumberFormat="1" applyFill="1" applyBorder="1" applyAlignment="1" applyProtection="1">
      <alignment vertical="center"/>
      <protection/>
    </xf>
    <xf numFmtId="49" fontId="0" fillId="4" borderId="7" xfId="0" applyNumberFormat="1" applyFill="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49" fontId="13" fillId="0" borderId="0" xfId="25" applyNumberFormat="1" applyFont="1" applyAlignment="1" applyProtection="1">
      <alignment/>
      <protection/>
    </xf>
    <xf numFmtId="0" fontId="0" fillId="0" borderId="32" xfId="0" applyFont="1" applyBorder="1" applyAlignment="1" applyProtection="1">
      <alignment vertical="center"/>
      <protection/>
    </xf>
    <xf numFmtId="0" fontId="1"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1" fillId="0" borderId="35" xfId="0" applyFont="1" applyBorder="1" applyAlignment="1" applyProtection="1">
      <alignment vertical="center"/>
      <protection/>
    </xf>
    <xf numFmtId="0" fontId="0" fillId="0" borderId="0" xfId="0" applyFill="1" applyAlignment="1">
      <alignment/>
    </xf>
    <xf numFmtId="0" fontId="23" fillId="0" borderId="0" xfId="0" applyFont="1" applyAlignment="1" applyProtection="1">
      <alignment horizontal="centerContinuous"/>
      <protection/>
    </xf>
    <xf numFmtId="0" fontId="23" fillId="0" borderId="0" xfId="0" applyFont="1" applyBorder="1" applyAlignment="1" applyProtection="1">
      <alignment horizontal="centerContinuous"/>
      <protection/>
    </xf>
    <xf numFmtId="0" fontId="7" fillId="0" borderId="0" xfId="0" applyFont="1" applyBorder="1" applyAlignment="1" applyProtection="1">
      <alignment horizontal="left" vertical="center"/>
      <protection/>
    </xf>
    <xf numFmtId="0" fontId="0" fillId="0" borderId="0" xfId="0" applyAlignment="1" applyProtection="1">
      <alignment horizontal="center"/>
      <protection/>
    </xf>
    <xf numFmtId="0" fontId="23" fillId="0" borderId="0" xfId="0" applyFont="1" applyAlignment="1" applyProtection="1">
      <alignment horizontal="centerContinuous"/>
      <protection/>
    </xf>
    <xf numFmtId="0" fontId="10" fillId="0" borderId="0" xfId="0" applyFont="1" applyBorder="1" applyAlignment="1" applyProtection="1" quotePrefix="1">
      <alignment horizontal="center" vertical="center"/>
      <protection/>
    </xf>
    <xf numFmtId="0" fontId="11" fillId="0" borderId="0" xfId="0" applyFont="1" applyBorder="1" applyAlignment="1" applyProtection="1">
      <alignment horizontal="centerContinuous"/>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protection/>
    </xf>
    <xf numFmtId="0" fontId="17" fillId="0" borderId="32" xfId="0" applyFont="1"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1" fillId="0" borderId="42" xfId="0" applyFont="1" applyBorder="1" applyAlignment="1" applyProtection="1">
      <alignment horizontal="left" vertical="center"/>
      <protection/>
    </xf>
    <xf numFmtId="0" fontId="0" fillId="0" borderId="36" xfId="0" applyFont="1" applyBorder="1" applyAlignment="1" applyProtection="1">
      <alignment horizontal="center" vertical="center"/>
      <protection/>
    </xf>
    <xf numFmtId="0" fontId="0" fillId="0" borderId="43" xfId="0" applyFont="1" applyBorder="1" applyAlignment="1" applyProtection="1">
      <alignment horizontal="left" vertical="center"/>
      <protection/>
    </xf>
    <xf numFmtId="0" fontId="0" fillId="0" borderId="44"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46" xfId="0" applyFont="1" applyBorder="1" applyAlignment="1" applyProtection="1">
      <alignment horizontal="left" vertical="center"/>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0" fillId="2" borderId="22" xfId="0" applyFont="1" applyFill="1" applyBorder="1" applyAlignment="1" applyProtection="1">
      <alignment horizontal="center" vertical="center"/>
      <protection/>
    </xf>
    <xf numFmtId="0" fontId="0" fillId="2" borderId="22"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1" fontId="0" fillId="0" borderId="0" xfId="0" applyNumberFormat="1" applyFont="1" applyFill="1" applyBorder="1" applyAlignment="1" applyProtection="1">
      <alignment horizontal="right" vertical="center"/>
      <protection/>
    </xf>
    <xf numFmtId="1" fontId="0" fillId="0" borderId="0" xfId="0" applyNumberFormat="1" applyFont="1" applyFill="1" applyBorder="1" applyAlignment="1" applyProtection="1">
      <alignment vertical="center"/>
      <protection/>
    </xf>
    <xf numFmtId="1"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left" vertical="center"/>
      <protection/>
    </xf>
    <xf numFmtId="1" fontId="1"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9" fillId="0" borderId="47" xfId="0" applyFont="1" applyBorder="1" applyAlignment="1" applyProtection="1">
      <alignment horizontal="left" vertical="center"/>
      <protection/>
    </xf>
    <xf numFmtId="0" fontId="0" fillId="0" borderId="47" xfId="0" applyFont="1" applyBorder="1" applyAlignment="1" applyProtection="1">
      <alignment horizontal="left" vertical="center"/>
      <protection/>
    </xf>
    <xf numFmtId="49" fontId="0" fillId="0" borderId="0" xfId="0" applyNumberFormat="1" applyFont="1" applyAlignment="1" applyProtection="1">
      <alignment/>
      <protection/>
    </xf>
    <xf numFmtId="0" fontId="1" fillId="0" borderId="32" xfId="0" applyFont="1" applyBorder="1" applyAlignment="1" applyProtection="1">
      <alignment horizontal="center" vertical="center"/>
      <protection/>
    </xf>
    <xf numFmtId="0" fontId="17" fillId="0" borderId="37" xfId="0" applyFont="1" applyBorder="1" applyAlignment="1" applyProtection="1">
      <alignment horizontal="center" vertical="center" wrapText="1"/>
      <protection/>
    </xf>
    <xf numFmtId="0" fontId="0" fillId="4" borderId="0" xfId="0" applyFill="1" applyBorder="1" applyAlignment="1" applyProtection="1">
      <alignment/>
      <protection/>
    </xf>
    <xf numFmtId="0" fontId="0" fillId="0" borderId="48" xfId="0"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50" xfId="0" applyFont="1" applyBorder="1" applyAlignment="1" applyProtection="1">
      <alignment vertical="center"/>
      <protection/>
    </xf>
    <xf numFmtId="49" fontId="0" fillId="4" borderId="0" xfId="0" applyNumberFormat="1" applyFill="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52" xfId="0" applyFont="1" applyBorder="1" applyAlignment="1" applyProtection="1">
      <alignment vertical="center"/>
      <protection/>
    </xf>
    <xf numFmtId="0" fontId="0" fillId="0" borderId="53" xfId="0" applyFont="1" applyBorder="1" applyAlignment="1" applyProtection="1">
      <alignment horizontal="center" vertical="center"/>
      <protection/>
    </xf>
    <xf numFmtId="0" fontId="11" fillId="0" borderId="35" xfId="0" applyFont="1" applyBorder="1" applyAlignment="1" applyProtection="1">
      <alignment vertical="center"/>
      <protection/>
    </xf>
    <xf numFmtId="0" fontId="1" fillId="0" borderId="0" xfId="0" applyFont="1" applyBorder="1" applyAlignment="1" applyProtection="1">
      <alignment horizontal="right" vertical="center"/>
      <protection/>
    </xf>
    <xf numFmtId="1" fontId="0" fillId="0" borderId="0" xfId="0" applyNumberFormat="1" applyFont="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49" fontId="0" fillId="4" borderId="0" xfId="0" applyNumberFormat="1" applyFill="1" applyBorder="1" applyAlignment="1" applyProtection="1">
      <alignment/>
      <protection/>
    </xf>
    <xf numFmtId="0" fontId="0" fillId="0" borderId="5" xfId="0" applyFont="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0" fillId="0" borderId="40" xfId="0" applyFont="1" applyBorder="1" applyAlignment="1" applyProtection="1">
      <alignment vertical="center"/>
      <protection/>
    </xf>
    <xf numFmtId="0" fontId="0" fillId="0" borderId="13" xfId="0" applyFont="1" applyBorder="1" applyAlignment="1" applyProtection="1">
      <alignment horizontal="center" vertical="center"/>
      <protection/>
    </xf>
    <xf numFmtId="0" fontId="0" fillId="0" borderId="54" xfId="0" applyFont="1" applyBorder="1" applyAlignment="1" applyProtection="1">
      <alignment vertical="center"/>
      <protection/>
    </xf>
    <xf numFmtId="0" fontId="1" fillId="0" borderId="14" xfId="0" applyFont="1" applyBorder="1" applyAlignment="1" applyProtection="1">
      <alignment horizontal="center" vertical="center"/>
      <protection/>
    </xf>
    <xf numFmtId="0" fontId="0" fillId="0" borderId="0" xfId="0" applyBorder="1" applyAlignment="1" applyProtection="1">
      <alignment horizontal="center"/>
      <protection/>
    </xf>
    <xf numFmtId="0" fontId="0" fillId="0" borderId="55" xfId="0" applyFont="1" applyBorder="1" applyAlignment="1" applyProtection="1">
      <alignment horizontal="left" vertical="center"/>
      <protection/>
    </xf>
    <xf numFmtId="3" fontId="0" fillId="0" borderId="16" xfId="0" applyNumberFormat="1" applyBorder="1" applyAlignment="1" applyProtection="1">
      <alignment horizontal="right" vertical="center"/>
      <protection/>
    </xf>
    <xf numFmtId="3" fontId="0" fillId="0" borderId="0" xfId="0" applyNumberFormat="1" applyBorder="1" applyAlignment="1" applyProtection="1">
      <alignment horizontal="right" vertical="center"/>
      <protection/>
    </xf>
    <xf numFmtId="3" fontId="0" fillId="0" borderId="16" xfId="0" applyNumberFormat="1" applyFont="1" applyBorder="1" applyAlignment="1" applyProtection="1">
      <alignment vertical="center"/>
      <protection/>
    </xf>
    <xf numFmtId="3" fontId="0" fillId="0" borderId="0" xfId="0" applyNumberFormat="1" applyFont="1" applyBorder="1" applyAlignment="1" applyProtection="1">
      <alignment vertical="center"/>
      <protection/>
    </xf>
    <xf numFmtId="3" fontId="0" fillId="0" borderId="13" xfId="0" applyNumberFormat="1" applyFont="1" applyBorder="1" applyAlignment="1" applyProtection="1">
      <alignment vertical="center"/>
      <protection locked="0"/>
    </xf>
    <xf numFmtId="3" fontId="0" fillId="0" borderId="7" xfId="0" applyNumberFormat="1" applyFont="1" applyBorder="1" applyAlignment="1" applyProtection="1">
      <alignment vertical="center"/>
      <protection locked="0"/>
    </xf>
    <xf numFmtId="3" fontId="0" fillId="0" borderId="26" xfId="0" applyNumberFormat="1" applyFont="1" applyBorder="1" applyAlignment="1" applyProtection="1">
      <alignment vertical="center"/>
      <protection locked="0"/>
    </xf>
    <xf numFmtId="3" fontId="0" fillId="0" borderId="24" xfId="0" applyNumberFormat="1" applyFont="1" applyBorder="1" applyAlignment="1" applyProtection="1">
      <alignment vertical="center"/>
      <protection locked="0"/>
    </xf>
    <xf numFmtId="3" fontId="0" fillId="0" borderId="31" xfId="0" applyNumberFormat="1" applyFont="1" applyBorder="1" applyAlignment="1" applyProtection="1">
      <alignment vertical="center"/>
      <protection locked="0"/>
    </xf>
    <xf numFmtId="3" fontId="0" fillId="0" borderId="21" xfId="0" applyNumberFormat="1" applyFont="1" applyBorder="1" applyAlignment="1" applyProtection="1">
      <alignment vertical="center"/>
      <protection locked="0"/>
    </xf>
    <xf numFmtId="3" fontId="0" fillId="0" borderId="28" xfId="0" applyNumberFormat="1" applyFont="1" applyBorder="1" applyAlignment="1" applyProtection="1">
      <alignment vertical="center"/>
      <protection/>
    </xf>
    <xf numFmtId="3" fontId="0" fillId="0" borderId="31" xfId="0" applyNumberFormat="1" applyFont="1" applyBorder="1" applyAlignment="1" applyProtection="1">
      <alignment vertical="center"/>
      <protection/>
    </xf>
    <xf numFmtId="3" fontId="0" fillId="0" borderId="6" xfId="0" applyNumberFormat="1" applyFont="1" applyBorder="1" applyAlignment="1" applyProtection="1">
      <alignment vertical="center"/>
      <protection locked="0"/>
    </xf>
    <xf numFmtId="3" fontId="0" fillId="0" borderId="27" xfId="0" applyNumberFormat="1" applyFont="1" applyBorder="1" applyAlignment="1" applyProtection="1">
      <alignment vertical="center"/>
      <protection locked="0"/>
    </xf>
    <xf numFmtId="3" fontId="0" fillId="0" borderId="56" xfId="0" applyNumberFormat="1" applyFont="1" applyBorder="1" applyAlignment="1" applyProtection="1">
      <alignment vertical="center"/>
      <protection/>
    </xf>
    <xf numFmtId="3" fontId="0" fillId="0" borderId="16" xfId="0" applyNumberFormat="1" applyFont="1" applyBorder="1" applyAlignment="1" applyProtection="1">
      <alignment vertical="center"/>
      <protection/>
    </xf>
    <xf numFmtId="3" fontId="0" fillId="0" borderId="57" xfId="0" applyNumberFormat="1" applyFont="1" applyBorder="1" applyAlignment="1" applyProtection="1">
      <alignment vertical="center"/>
      <protection locked="0"/>
    </xf>
    <xf numFmtId="3" fontId="0" fillId="0" borderId="56" xfId="0" applyNumberFormat="1" applyFont="1" applyBorder="1" applyAlignment="1" applyProtection="1">
      <alignment vertical="center"/>
      <protection locked="0"/>
    </xf>
    <xf numFmtId="3" fontId="0" fillId="0" borderId="29" xfId="0" applyNumberFormat="1" applyFont="1" applyBorder="1" applyAlignment="1" applyProtection="1">
      <alignment vertical="center"/>
      <protection/>
    </xf>
    <xf numFmtId="3" fontId="0" fillId="0" borderId="7" xfId="0" applyNumberFormat="1" applyFont="1" applyBorder="1" applyAlignment="1" applyProtection="1">
      <alignment vertical="center"/>
      <protection/>
    </xf>
    <xf numFmtId="3" fontId="0" fillId="0" borderId="14" xfId="0" applyNumberFormat="1" applyFont="1" applyBorder="1" applyAlignment="1" applyProtection="1">
      <alignment vertical="center"/>
      <protection/>
    </xf>
    <xf numFmtId="3" fontId="0" fillId="0" borderId="30" xfId="0" applyNumberFormat="1" applyFont="1" applyBorder="1" applyAlignment="1" applyProtection="1">
      <alignment vertical="center"/>
      <protection locked="0"/>
    </xf>
    <xf numFmtId="3" fontId="0" fillId="0" borderId="29" xfId="0" applyNumberFormat="1" applyFont="1" applyBorder="1" applyAlignment="1" applyProtection="1">
      <alignment vertical="center"/>
      <protection locked="0"/>
    </xf>
    <xf numFmtId="3" fontId="0" fillId="0" borderId="10" xfId="0" applyNumberFormat="1" applyFont="1" applyBorder="1" applyAlignment="1" applyProtection="1">
      <alignment horizontal="right" vertical="center"/>
      <protection/>
    </xf>
    <xf numFmtId="3" fontId="0" fillId="0" borderId="33" xfId="0" applyNumberFormat="1" applyFont="1" applyBorder="1" applyAlignment="1" applyProtection="1">
      <alignment horizontal="right" vertical="center"/>
      <protection/>
    </xf>
    <xf numFmtId="3" fontId="0" fillId="0" borderId="11" xfId="0" applyNumberFormat="1" applyFont="1" applyBorder="1" applyAlignment="1" applyProtection="1">
      <alignment horizontal="right" vertical="center"/>
      <protection/>
    </xf>
    <xf numFmtId="3" fontId="0" fillId="0" borderId="41" xfId="0" applyNumberFormat="1" applyFont="1" applyBorder="1" applyAlignment="1" applyProtection="1">
      <alignment vertical="center"/>
      <protection locked="0"/>
    </xf>
    <xf numFmtId="3" fontId="0" fillId="2" borderId="22" xfId="0" applyNumberFormat="1" applyFont="1" applyFill="1" applyBorder="1" applyAlignment="1" applyProtection="1">
      <alignment horizontal="right" vertical="center"/>
      <protection/>
    </xf>
    <xf numFmtId="3" fontId="0" fillId="2" borderId="22" xfId="0" applyNumberFormat="1" applyFont="1" applyFill="1" applyBorder="1" applyAlignment="1" applyProtection="1">
      <alignment vertical="center"/>
      <protection/>
    </xf>
    <xf numFmtId="3" fontId="0" fillId="0" borderId="35" xfId="0" applyNumberFormat="1" applyFont="1" applyBorder="1" applyAlignment="1" applyProtection="1">
      <alignment horizontal="right" vertical="center"/>
      <protection/>
    </xf>
    <xf numFmtId="3" fontId="0" fillId="0" borderId="40" xfId="0" applyNumberFormat="1" applyFont="1" applyBorder="1" applyAlignment="1" applyProtection="1">
      <alignment vertical="center"/>
      <protection locked="0"/>
    </xf>
    <xf numFmtId="3" fontId="0" fillId="0" borderId="39" xfId="0" applyNumberFormat="1" applyFont="1" applyBorder="1" applyAlignment="1" applyProtection="1">
      <alignment vertical="center"/>
      <protection locked="0"/>
    </xf>
    <xf numFmtId="3" fontId="0" fillId="0" borderId="34" xfId="0" applyNumberFormat="1" applyFont="1" applyBorder="1" applyAlignment="1" applyProtection="1">
      <alignment vertical="center"/>
      <protection/>
    </xf>
    <xf numFmtId="3" fontId="0" fillId="0" borderId="58" xfId="0" applyNumberFormat="1" applyFont="1" applyBorder="1" applyAlignment="1" applyProtection="1">
      <alignment vertical="center"/>
      <protection/>
    </xf>
    <xf numFmtId="3" fontId="0" fillId="0" borderId="59" xfId="0" applyNumberFormat="1" applyFont="1" applyBorder="1" applyAlignment="1" applyProtection="1">
      <alignment vertical="center"/>
      <protection/>
    </xf>
    <xf numFmtId="3" fontId="0" fillId="0" borderId="60" xfId="0" applyNumberFormat="1" applyFont="1" applyBorder="1" applyAlignment="1" applyProtection="1">
      <alignment vertical="center"/>
      <protection locked="0"/>
    </xf>
    <xf numFmtId="3" fontId="0" fillId="0" borderId="61" xfId="0" applyNumberFormat="1" applyFont="1" applyBorder="1" applyAlignment="1" applyProtection="1">
      <alignment vertical="center"/>
      <protection locked="0"/>
    </xf>
    <xf numFmtId="3" fontId="0" fillId="0" borderId="33" xfId="0" applyNumberFormat="1" applyFont="1" applyBorder="1" applyAlignment="1" applyProtection="1">
      <alignment vertical="center"/>
      <protection/>
    </xf>
    <xf numFmtId="3" fontId="0" fillId="0" borderId="10" xfId="0" applyNumberFormat="1" applyFont="1" applyBorder="1" applyAlignment="1" applyProtection="1">
      <alignment vertical="center"/>
      <protection/>
    </xf>
    <xf numFmtId="3" fontId="0" fillId="0" borderId="11" xfId="0" applyNumberFormat="1" applyFont="1" applyBorder="1" applyAlignment="1" applyProtection="1">
      <alignment vertical="center"/>
      <protection/>
    </xf>
    <xf numFmtId="0" fontId="24" fillId="0" borderId="0" xfId="0" applyFont="1" applyAlignment="1">
      <alignment/>
    </xf>
    <xf numFmtId="0" fontId="0" fillId="0" borderId="0" xfId="0" applyAlignment="1">
      <alignment wrapText="1"/>
    </xf>
    <xf numFmtId="0" fontId="1" fillId="0" borderId="37"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0" fillId="0" borderId="45"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4" xfId="0" applyBorder="1" applyAlignment="1" applyProtection="1">
      <alignment horizontal="center" vertical="center"/>
      <protection/>
    </xf>
    <xf numFmtId="49" fontId="0" fillId="0" borderId="65" xfId="0" applyNumberFormat="1" applyBorder="1" applyAlignment="1" applyProtection="1">
      <alignment horizontal="center" vertical="center"/>
      <protection/>
    </xf>
    <xf numFmtId="0" fontId="7" fillId="0" borderId="18" xfId="0" applyFont="1" applyBorder="1" applyAlignment="1" applyProtection="1">
      <alignment vertical="center"/>
      <protection/>
    </xf>
    <xf numFmtId="3" fontId="0" fillId="0" borderId="18" xfId="0" applyNumberFormat="1" applyBorder="1" applyAlignment="1" applyProtection="1">
      <alignment vertical="center"/>
      <protection/>
    </xf>
    <xf numFmtId="3" fontId="0" fillId="0" borderId="48" xfId="0" applyNumberFormat="1" applyBorder="1" applyAlignment="1" applyProtection="1">
      <alignment vertical="center"/>
      <protection/>
    </xf>
    <xf numFmtId="49" fontId="0" fillId="0" borderId="66" xfId="0" applyNumberFormat="1" applyBorder="1" applyAlignment="1" applyProtection="1">
      <alignment horizontal="center" vertical="center"/>
      <protection/>
    </xf>
    <xf numFmtId="3" fontId="0" fillId="0" borderId="67" xfId="0" applyNumberFormat="1" applyBorder="1" applyAlignment="1" applyProtection="1">
      <alignment vertical="center"/>
      <protection/>
    </xf>
    <xf numFmtId="3" fontId="0" fillId="0" borderId="68" xfId="0" applyNumberFormat="1" applyBorder="1" applyAlignment="1" applyProtection="1">
      <alignment vertical="center"/>
      <protection/>
    </xf>
    <xf numFmtId="49" fontId="0" fillId="0" borderId="38" xfId="0" applyNumberFormat="1" applyBorder="1" applyAlignment="1" applyProtection="1">
      <alignment horizontal="center" vertical="center"/>
      <protection/>
    </xf>
    <xf numFmtId="0" fontId="0" fillId="0" borderId="60" xfId="0" applyBorder="1" applyAlignment="1" applyProtection="1">
      <alignment vertical="center"/>
      <protection/>
    </xf>
    <xf numFmtId="3" fontId="0" fillId="0" borderId="60" xfId="0" applyNumberFormat="1" applyBorder="1" applyAlignment="1" applyProtection="1">
      <alignment vertical="center"/>
      <protection locked="0"/>
    </xf>
    <xf numFmtId="49" fontId="0" fillId="0" borderId="69" xfId="0" applyNumberFormat="1" applyBorder="1" applyAlignment="1" applyProtection="1">
      <alignment horizontal="center" vertical="center"/>
      <protection/>
    </xf>
    <xf numFmtId="0" fontId="0" fillId="0" borderId="70" xfId="0" applyBorder="1" applyAlignment="1" applyProtection="1">
      <alignment vertical="center"/>
      <protection/>
    </xf>
    <xf numFmtId="3" fontId="0" fillId="0" borderId="70" xfId="0" applyNumberFormat="1" applyBorder="1" applyAlignment="1" applyProtection="1">
      <alignment vertical="center"/>
      <protection locked="0"/>
    </xf>
    <xf numFmtId="0" fontId="0" fillId="0" borderId="39" xfId="0" applyBorder="1" applyAlignment="1" applyProtection="1">
      <alignment vertical="center"/>
      <protection/>
    </xf>
    <xf numFmtId="49" fontId="0" fillId="0" borderId="71" xfId="0" applyNumberFormat="1" applyBorder="1" applyAlignment="1" applyProtection="1">
      <alignment horizontal="center" vertical="center"/>
      <protection/>
    </xf>
    <xf numFmtId="3" fontId="0" fillId="0" borderId="58" xfId="0" applyNumberFormat="1" applyBorder="1" applyAlignment="1" applyProtection="1">
      <alignment vertical="center"/>
      <protection/>
    </xf>
    <xf numFmtId="3" fontId="0" fillId="0" borderId="59" xfId="0" applyNumberFormat="1" applyBorder="1" applyAlignment="1" applyProtection="1">
      <alignment vertical="center"/>
      <protection/>
    </xf>
    <xf numFmtId="3" fontId="0" fillId="0" borderId="72" xfId="0" applyNumberFormat="1" applyBorder="1" applyAlignment="1" applyProtection="1">
      <alignment vertical="center"/>
      <protection locked="0"/>
    </xf>
    <xf numFmtId="49" fontId="0" fillId="0" borderId="45" xfId="0" applyNumberFormat="1" applyBorder="1" applyAlignment="1" applyProtection="1">
      <alignment horizontal="center" vertical="center"/>
      <protection/>
    </xf>
    <xf numFmtId="3" fontId="0" fillId="0" borderId="63" xfId="0" applyNumberFormat="1" applyBorder="1" applyAlignment="1" applyProtection="1">
      <alignment vertical="center"/>
      <protection locked="0"/>
    </xf>
    <xf numFmtId="49" fontId="0" fillId="0" borderId="9" xfId="0" applyNumberFormat="1" applyBorder="1" applyAlignment="1" applyProtection="1">
      <alignment horizontal="center" vertical="center"/>
      <protection/>
    </xf>
    <xf numFmtId="3" fontId="0" fillId="0" borderId="11" xfId="0" applyNumberFormat="1" applyBorder="1" applyAlignment="1" applyProtection="1">
      <alignment vertical="center"/>
      <protection/>
    </xf>
    <xf numFmtId="0" fontId="7" fillId="0" borderId="10" xfId="0" applyFont="1" applyBorder="1" applyAlignment="1" applyProtection="1">
      <alignment horizontal="left" vertical="center"/>
      <protection/>
    </xf>
    <xf numFmtId="3" fontId="0" fillId="0" borderId="10" xfId="0" applyNumberFormat="1" applyBorder="1" applyAlignment="1" applyProtection="1">
      <alignment horizontal="right" vertical="center"/>
      <protection/>
    </xf>
    <xf numFmtId="3" fontId="0" fillId="0" borderId="67" xfId="0" applyNumberFormat="1" applyBorder="1" applyAlignment="1" applyProtection="1">
      <alignment horizontal="right" vertical="center"/>
      <protection/>
    </xf>
    <xf numFmtId="49" fontId="0" fillId="0" borderId="73" xfId="0" applyNumberFormat="1" applyBorder="1" applyAlignment="1" applyProtection="1">
      <alignment horizontal="center" vertical="center"/>
      <protection/>
    </xf>
    <xf numFmtId="0" fontId="0" fillId="0" borderId="60" xfId="0" applyBorder="1" applyAlignment="1" applyProtection="1">
      <alignment horizontal="left" vertical="center"/>
      <protection/>
    </xf>
    <xf numFmtId="3" fontId="0" fillId="0" borderId="58" xfId="0" applyNumberFormat="1" applyBorder="1" applyAlignment="1" applyProtection="1">
      <alignment horizontal="right" vertical="center"/>
      <protection/>
    </xf>
    <xf numFmtId="0" fontId="0" fillId="0" borderId="58" xfId="0" applyFont="1" applyBorder="1" applyAlignment="1" applyProtection="1">
      <alignment horizontal="left" vertical="center"/>
      <protection/>
    </xf>
    <xf numFmtId="0" fontId="0" fillId="0" borderId="67" xfId="0" applyFont="1" applyBorder="1" applyAlignment="1" applyProtection="1">
      <alignment horizontal="left" vertical="center"/>
      <protection/>
    </xf>
    <xf numFmtId="0" fontId="0" fillId="0" borderId="67" xfId="0" applyFont="1" applyBorder="1" applyAlignment="1" applyProtection="1">
      <alignment vertical="center"/>
      <protection/>
    </xf>
    <xf numFmtId="0" fontId="0" fillId="0" borderId="58" xfId="0" applyFont="1" applyBorder="1" applyAlignment="1" applyProtection="1">
      <alignment vertical="center"/>
      <protection/>
    </xf>
    <xf numFmtId="0" fontId="1" fillId="2" borderId="0" xfId="0" applyFont="1" applyFill="1" applyAlignment="1" applyProtection="1">
      <alignment horizontal="center"/>
      <protection/>
    </xf>
    <xf numFmtId="0" fontId="1" fillId="0" borderId="0" xfId="0" applyNumberFormat="1" applyFont="1" applyBorder="1" applyAlignment="1" applyProtection="1">
      <alignment vertical="top"/>
      <protection/>
    </xf>
    <xf numFmtId="0" fontId="12" fillId="0" borderId="0" xfId="0" applyNumberFormat="1" applyFont="1" applyAlignment="1" applyProtection="1">
      <alignment/>
      <protection/>
    </xf>
    <xf numFmtId="0" fontId="0" fillId="0" borderId="65" xfId="0"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1" fillId="0" borderId="58"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69" xfId="0" applyFont="1" applyBorder="1" applyAlignment="1" applyProtection="1">
      <alignment horizontal="center" vertical="center"/>
      <protection/>
    </xf>
    <xf numFmtId="0" fontId="0" fillId="0" borderId="72" xfId="0" applyFont="1" applyBorder="1" applyAlignment="1" applyProtection="1">
      <alignment vertical="center"/>
      <protection/>
    </xf>
    <xf numFmtId="0" fontId="0" fillId="0" borderId="74" xfId="0" applyFont="1" applyBorder="1" applyAlignment="1" applyProtection="1">
      <alignment horizontal="center" vertical="center"/>
      <protection/>
    </xf>
    <xf numFmtId="0" fontId="0" fillId="0" borderId="75" xfId="0" applyFont="1" applyBorder="1" applyAlignment="1" applyProtection="1">
      <alignment vertical="center"/>
      <protection/>
    </xf>
    <xf numFmtId="0" fontId="0" fillId="0" borderId="20"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18" xfId="0" applyFont="1" applyBorder="1" applyAlignment="1" applyProtection="1">
      <alignment vertical="center"/>
      <protection/>
    </xf>
    <xf numFmtId="3" fontId="0" fillId="0" borderId="18" xfId="0" applyNumberFormat="1" applyFont="1" applyBorder="1" applyAlignment="1" applyProtection="1">
      <alignment vertical="center"/>
      <protection locked="0"/>
    </xf>
    <xf numFmtId="3" fontId="0" fillId="0" borderId="48" xfId="0" applyNumberFormat="1" applyFont="1" applyBorder="1" applyAlignment="1" applyProtection="1">
      <alignment vertical="center"/>
      <protection locked="0"/>
    </xf>
    <xf numFmtId="0" fontId="17" fillId="0" borderId="18" xfId="0" applyFont="1" applyBorder="1" applyAlignment="1" applyProtection="1">
      <alignment horizontal="left" vertical="center"/>
      <protection/>
    </xf>
    <xf numFmtId="3" fontId="0" fillId="0" borderId="18" xfId="0" applyNumberFormat="1" applyFont="1" applyBorder="1" applyAlignment="1" applyProtection="1">
      <alignment vertical="center"/>
      <protection/>
    </xf>
    <xf numFmtId="3" fontId="0" fillId="0" borderId="48" xfId="0" applyNumberFormat="1" applyFont="1" applyBorder="1" applyAlignment="1" applyProtection="1">
      <alignment vertical="center"/>
      <protection/>
    </xf>
    <xf numFmtId="0" fontId="1" fillId="0" borderId="58" xfId="0" applyFont="1" applyBorder="1" applyAlignment="1" applyProtection="1">
      <alignment vertical="center"/>
      <protection/>
    </xf>
    <xf numFmtId="0" fontId="0" fillId="0" borderId="76" xfId="0" applyFont="1" applyBorder="1" applyAlignment="1" applyProtection="1">
      <alignment horizontal="center" vertical="center"/>
      <protection/>
    </xf>
    <xf numFmtId="0" fontId="1" fillId="0" borderId="77" xfId="0" applyFont="1" applyBorder="1" applyAlignment="1" applyProtection="1">
      <alignment vertical="center"/>
      <protection/>
    </xf>
    <xf numFmtId="3" fontId="0" fillId="0" borderId="77" xfId="0" applyNumberFormat="1" applyFont="1" applyBorder="1" applyAlignment="1" applyProtection="1">
      <alignment vertical="center"/>
      <protection/>
    </xf>
    <xf numFmtId="3" fontId="0" fillId="0" borderId="78" xfId="0" applyNumberFormat="1" applyFont="1" applyBorder="1" applyAlignment="1" applyProtection="1">
      <alignment vertical="center"/>
      <protection/>
    </xf>
    <xf numFmtId="0" fontId="1" fillId="0" borderId="39" xfId="0" applyFont="1" applyBorder="1" applyAlignment="1" applyProtection="1">
      <alignment vertical="center"/>
      <protection/>
    </xf>
    <xf numFmtId="3" fontId="0" fillId="0" borderId="39" xfId="0" applyNumberFormat="1" applyFont="1" applyBorder="1" applyAlignment="1" applyProtection="1">
      <alignment vertical="center"/>
      <protection/>
    </xf>
    <xf numFmtId="3" fontId="0" fillId="0" borderId="41" xfId="0" applyNumberFormat="1" applyFont="1" applyBorder="1" applyAlignment="1" applyProtection="1">
      <alignment vertical="center"/>
      <protection/>
    </xf>
    <xf numFmtId="0" fontId="1" fillId="0" borderId="10" xfId="0" applyFont="1" applyBorder="1" applyAlignment="1" applyProtection="1">
      <alignment vertical="center"/>
      <protection/>
    </xf>
    <xf numFmtId="0" fontId="0" fillId="0" borderId="66" xfId="0" applyFont="1" applyBorder="1" applyAlignment="1" applyProtection="1">
      <alignment horizontal="center" vertical="center"/>
      <protection/>
    </xf>
    <xf numFmtId="0" fontId="1" fillId="0" borderId="67" xfId="0" applyFont="1" applyBorder="1" applyAlignment="1" applyProtection="1">
      <alignment vertical="center"/>
      <protection/>
    </xf>
    <xf numFmtId="3" fontId="0" fillId="0" borderId="67" xfId="0" applyNumberFormat="1" applyFont="1" applyBorder="1" applyAlignment="1" applyProtection="1">
      <alignment vertical="center"/>
      <protection locked="0"/>
    </xf>
    <xf numFmtId="3" fontId="0" fillId="0" borderId="77" xfId="0" applyNumberFormat="1" applyFont="1" applyBorder="1" applyAlignment="1" applyProtection="1">
      <alignment vertical="center"/>
      <protection locked="0"/>
    </xf>
    <xf numFmtId="3" fontId="0" fillId="0" borderId="79" xfId="0" applyNumberFormat="1" applyFont="1" applyBorder="1" applyAlignment="1" applyProtection="1">
      <alignment vertical="center"/>
      <protection/>
    </xf>
    <xf numFmtId="0" fontId="0" fillId="0" borderId="39" xfId="0" applyBorder="1" applyAlignment="1" applyProtection="1">
      <alignment horizontal="centerContinuous" vertical="center"/>
      <protection/>
    </xf>
    <xf numFmtId="0" fontId="0" fillId="0" borderId="39" xfId="0" applyFont="1" applyBorder="1" applyAlignment="1" applyProtection="1">
      <alignment horizontal="center" vertical="center"/>
      <protection/>
    </xf>
    <xf numFmtId="0" fontId="7" fillId="0" borderId="10" xfId="0" applyFont="1" applyBorder="1" applyAlignment="1" applyProtection="1">
      <alignment vertical="center"/>
      <protection/>
    </xf>
    <xf numFmtId="3" fontId="0" fillId="0" borderId="10" xfId="0" applyNumberFormat="1" applyFont="1" applyBorder="1" applyAlignment="1" applyProtection="1">
      <alignment vertical="center"/>
      <protection/>
    </xf>
    <xf numFmtId="3" fontId="0" fillId="0" borderId="11" xfId="0" applyNumberFormat="1" applyFont="1" applyBorder="1" applyAlignment="1" applyProtection="1">
      <alignment vertical="center"/>
      <protection/>
    </xf>
    <xf numFmtId="0" fontId="0" fillId="0" borderId="67" xfId="0" applyBorder="1" applyAlignment="1" applyProtection="1">
      <alignment vertical="center"/>
      <protection/>
    </xf>
    <xf numFmtId="3" fontId="0" fillId="0" borderId="67" xfId="0" applyNumberFormat="1" applyFont="1" applyBorder="1" applyAlignment="1" applyProtection="1">
      <alignment vertical="center"/>
      <protection locked="0"/>
    </xf>
    <xf numFmtId="0" fontId="0" fillId="0" borderId="58" xfId="0" applyBorder="1" applyAlignment="1" applyProtection="1">
      <alignment vertical="center"/>
      <protection/>
    </xf>
    <xf numFmtId="3" fontId="0" fillId="0" borderId="58" xfId="0" applyNumberFormat="1" applyFont="1" applyBorder="1" applyAlignment="1" applyProtection="1">
      <alignment vertical="center"/>
      <protection locked="0"/>
    </xf>
    <xf numFmtId="49" fontId="0" fillId="0" borderId="76" xfId="0" applyNumberFormat="1" applyBorder="1" applyAlignment="1" applyProtection="1">
      <alignment horizontal="center" vertical="center"/>
      <protection/>
    </xf>
    <xf numFmtId="0" fontId="0" fillId="0" borderId="77" xfId="0" applyBorder="1" applyAlignment="1" applyProtection="1">
      <alignment vertical="center"/>
      <protection/>
    </xf>
    <xf numFmtId="3" fontId="0" fillId="0" borderId="77" xfId="0" applyNumberFormat="1" applyFont="1" applyBorder="1" applyAlignment="1" applyProtection="1">
      <alignment vertical="center"/>
      <protection locked="0"/>
    </xf>
    <xf numFmtId="3" fontId="0" fillId="0" borderId="60" xfId="0" applyNumberFormat="1" applyFont="1" applyBorder="1" applyAlignment="1" applyProtection="1">
      <alignment vertical="center"/>
      <protection locked="0"/>
    </xf>
    <xf numFmtId="3" fontId="0" fillId="0" borderId="61" xfId="0" applyNumberFormat="1" applyFont="1" applyBorder="1" applyAlignment="1" applyProtection="1">
      <alignment vertical="center"/>
      <protection locked="0"/>
    </xf>
    <xf numFmtId="3" fontId="0" fillId="0" borderId="67" xfId="0" applyNumberFormat="1" applyFont="1" applyBorder="1" applyAlignment="1" applyProtection="1">
      <alignment vertical="center"/>
      <protection/>
    </xf>
    <xf numFmtId="3" fontId="0" fillId="0" borderId="68" xfId="0" applyNumberFormat="1" applyFont="1" applyBorder="1" applyAlignment="1" applyProtection="1">
      <alignment vertical="center"/>
      <protection/>
    </xf>
    <xf numFmtId="49" fontId="0" fillId="0" borderId="44" xfId="0" applyNumberFormat="1" applyBorder="1" applyAlignment="1" applyProtection="1">
      <alignment horizontal="center" vertical="center"/>
      <protection/>
    </xf>
    <xf numFmtId="3" fontId="0" fillId="0" borderId="58" xfId="0" applyNumberFormat="1" applyFont="1" applyBorder="1" applyAlignment="1" applyProtection="1">
      <alignment vertical="center"/>
      <protection/>
    </xf>
    <xf numFmtId="3" fontId="0" fillId="0" borderId="59" xfId="0" applyNumberFormat="1" applyFont="1" applyBorder="1" applyAlignment="1" applyProtection="1">
      <alignment vertical="center"/>
      <protection/>
    </xf>
    <xf numFmtId="3" fontId="0" fillId="0" borderId="70" xfId="0" applyNumberFormat="1" applyFont="1" applyBorder="1" applyAlignment="1" applyProtection="1">
      <alignment horizontal="right" vertical="center"/>
      <protection/>
    </xf>
    <xf numFmtId="3" fontId="0" fillId="0" borderId="79" xfId="0" applyNumberFormat="1" applyFont="1" applyBorder="1" applyAlignment="1" applyProtection="1">
      <alignment horizontal="right" vertical="center"/>
      <protection/>
    </xf>
    <xf numFmtId="3" fontId="0" fillId="0" borderId="39" xfId="0" applyNumberFormat="1" applyFont="1" applyBorder="1" applyAlignment="1" applyProtection="1">
      <alignment horizontal="right" vertical="center"/>
      <protection/>
    </xf>
    <xf numFmtId="3" fontId="0" fillId="0" borderId="80" xfId="0" applyNumberFormat="1" applyFont="1" applyBorder="1" applyAlignment="1" applyProtection="1">
      <alignment horizontal="right" vertical="center"/>
      <protection/>
    </xf>
    <xf numFmtId="0" fontId="0" fillId="0" borderId="0" xfId="0" applyAlignment="1">
      <alignment horizontal="right"/>
    </xf>
    <xf numFmtId="0" fontId="0" fillId="0" borderId="0" xfId="24">
      <alignment/>
      <protection/>
    </xf>
    <xf numFmtId="0" fontId="0" fillId="0" borderId="81" xfId="0" applyBorder="1" applyAlignment="1" applyProtection="1">
      <alignment vertical="center"/>
      <protection/>
    </xf>
    <xf numFmtId="0" fontId="0" fillId="0" borderId="18" xfId="0" applyBorder="1" applyAlignment="1" applyProtection="1">
      <alignment vertical="center"/>
      <protection/>
    </xf>
    <xf numFmtId="0" fontId="0" fillId="5" borderId="82" xfId="0" applyFill="1" applyBorder="1" applyAlignment="1" applyProtection="1">
      <alignment/>
      <protection/>
    </xf>
    <xf numFmtId="0" fontId="0" fillId="0" borderId="0" xfId="0" applyAlignment="1" applyProtection="1">
      <alignment wrapText="1"/>
      <protection/>
    </xf>
    <xf numFmtId="49"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0" fillId="0" borderId="0" xfId="0" applyNumberFormat="1" applyAlignment="1" applyProtection="1">
      <alignment horizontal="center"/>
      <protection/>
    </xf>
    <xf numFmtId="0" fontId="0" fillId="5" borderId="71" xfId="0" applyFill="1" applyBorder="1" applyAlignment="1" applyProtection="1">
      <alignment/>
      <protection/>
    </xf>
    <xf numFmtId="0" fontId="0" fillId="5" borderId="83" xfId="0" applyFill="1" applyBorder="1" applyAlignment="1" applyProtection="1">
      <alignment/>
      <protection/>
    </xf>
    <xf numFmtId="0" fontId="0" fillId="0" borderId="84" xfId="0" applyFill="1" applyBorder="1" applyAlignment="1" applyProtection="1">
      <alignment/>
      <protection/>
    </xf>
    <xf numFmtId="0" fontId="0" fillId="0" borderId="82" xfId="0" applyFill="1" applyBorder="1" applyAlignment="1" applyProtection="1">
      <alignment/>
      <protection/>
    </xf>
    <xf numFmtId="0" fontId="0" fillId="5" borderId="82" xfId="0" applyNumberFormat="1" applyFill="1" applyBorder="1" applyAlignment="1" applyProtection="1">
      <alignment/>
      <protection/>
    </xf>
    <xf numFmtId="49" fontId="0" fillId="2" borderId="67" xfId="0" applyNumberFormat="1" applyFont="1" applyFill="1" applyBorder="1" applyAlignment="1" applyProtection="1">
      <alignment/>
      <protection locked="0"/>
    </xf>
    <xf numFmtId="49" fontId="0" fillId="2" borderId="58" xfId="0" applyNumberFormat="1" applyFont="1" applyFill="1" applyBorder="1" applyAlignment="1" applyProtection="1">
      <alignment/>
      <protection locked="0"/>
    </xf>
    <xf numFmtId="0" fontId="0" fillId="5" borderId="58" xfId="0" applyNumberFormat="1" applyFont="1" applyFill="1" applyBorder="1" applyAlignment="1" applyProtection="1">
      <alignment horizontal="left"/>
      <protection/>
    </xf>
    <xf numFmtId="167" fontId="0" fillId="2" borderId="58" xfId="0" applyNumberFormat="1" applyFont="1" applyFill="1" applyBorder="1" applyAlignment="1" applyProtection="1">
      <alignment/>
      <protection locked="0"/>
    </xf>
    <xf numFmtId="0" fontId="34" fillId="0" borderId="0" xfId="0" applyFont="1" applyAlignment="1" applyProtection="1">
      <alignment horizontal="centerContinuous"/>
      <protection/>
    </xf>
    <xf numFmtId="0" fontId="8" fillId="0" borderId="0" xfId="0" applyNumberFormat="1" applyFont="1" applyAlignment="1" applyProtection="1">
      <alignment horizontal="centerContinuous"/>
      <protection/>
    </xf>
    <xf numFmtId="0" fontId="0" fillId="0" borderId="12" xfId="0" applyNumberFormat="1" applyFont="1" applyBorder="1" applyAlignment="1" applyProtection="1">
      <alignment/>
      <protection/>
    </xf>
    <xf numFmtId="0" fontId="1" fillId="0" borderId="37" xfId="0" applyNumberFormat="1" applyFont="1" applyBorder="1" applyAlignment="1" applyProtection="1">
      <alignment horizontal="center" vertical="center"/>
      <protection/>
    </xf>
    <xf numFmtId="0" fontId="0" fillId="0" borderId="12" xfId="0" applyNumberFormat="1" applyBorder="1" applyAlignment="1" applyProtection="1">
      <alignment/>
      <protection/>
    </xf>
    <xf numFmtId="3" fontId="0" fillId="0" borderId="8" xfId="0" applyNumberFormat="1" applyBorder="1" applyAlignment="1" applyProtection="1">
      <alignment vertical="center"/>
      <protection/>
    </xf>
    <xf numFmtId="49" fontId="0" fillId="0" borderId="36" xfId="0" applyNumberFormat="1" applyBorder="1" applyAlignment="1" applyProtection="1">
      <alignment horizontal="center" vertical="center"/>
      <protection/>
    </xf>
    <xf numFmtId="0" fontId="0" fillId="0" borderId="37"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81" xfId="0" applyBorder="1" applyAlignment="1" applyProtection="1">
      <alignment horizontal="left" vertical="center"/>
      <protection/>
    </xf>
    <xf numFmtId="0" fontId="0" fillId="0" borderId="70" xfId="0" applyBorder="1" applyAlignment="1" applyProtection="1">
      <alignment horizontal="left" vertical="center"/>
      <protection/>
    </xf>
    <xf numFmtId="3" fontId="0" fillId="0" borderId="18" xfId="0" applyNumberFormat="1" applyBorder="1" applyAlignment="1" applyProtection="1">
      <alignment horizontal="center" vertical="center"/>
      <protection/>
    </xf>
    <xf numFmtId="3" fontId="0" fillId="0" borderId="48" xfId="0" applyNumberFormat="1" applyBorder="1" applyAlignment="1" applyProtection="1">
      <alignment horizontal="center" vertical="center"/>
      <protection/>
    </xf>
    <xf numFmtId="0" fontId="0" fillId="0" borderId="37" xfId="0" applyBorder="1" applyAlignment="1" applyProtection="1">
      <alignment vertical="center"/>
      <protection/>
    </xf>
    <xf numFmtId="0" fontId="0" fillId="0" borderId="0" xfId="0" applyNumberFormat="1" applyAlignment="1" applyProtection="1">
      <alignment horizontal="center"/>
      <protection/>
    </xf>
    <xf numFmtId="0" fontId="17" fillId="0" borderId="2" xfId="0" applyFont="1" applyBorder="1" applyAlignment="1" applyProtection="1">
      <alignment horizontal="center" vertical="center" wrapText="1"/>
      <protection/>
    </xf>
    <xf numFmtId="0" fontId="16" fillId="0" borderId="0" xfId="0" applyFont="1" applyAlignment="1" applyProtection="1">
      <alignment horizontal="centerContinuous"/>
      <protection/>
    </xf>
    <xf numFmtId="0" fontId="12" fillId="0" borderId="0" xfId="0" applyNumberFormat="1" applyFont="1" applyAlignment="1" applyProtection="1">
      <alignment/>
      <protection/>
    </xf>
    <xf numFmtId="0" fontId="17" fillId="0" borderId="32" xfId="0" applyNumberFormat="1" applyFont="1" applyBorder="1" applyAlignment="1" applyProtection="1">
      <alignment horizontal="center" vertical="center" wrapText="1"/>
      <protection/>
    </xf>
    <xf numFmtId="0" fontId="1" fillId="0" borderId="62"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vertical="center" wrapText="1"/>
      <protection/>
    </xf>
    <xf numFmtId="1" fontId="0" fillId="0" borderId="12" xfId="0" applyNumberFormat="1" applyFont="1" applyFill="1" applyBorder="1" applyAlignment="1" applyProtection="1">
      <alignment horizontal="right" vertical="center"/>
      <protection/>
    </xf>
    <xf numFmtId="1" fontId="0" fillId="0" borderId="12" xfId="0" applyNumberFormat="1" applyFont="1" applyFill="1" applyBorder="1" applyAlignment="1" applyProtection="1">
      <alignment vertical="center"/>
      <protection/>
    </xf>
    <xf numFmtId="1" fontId="0" fillId="0" borderId="0" xfId="0" applyNumberFormat="1" applyFont="1" applyFill="1" applyBorder="1" applyAlignment="1" applyProtection="1">
      <alignment horizontal="centerContinuous" vertical="center"/>
      <protection/>
    </xf>
    <xf numFmtId="14" fontId="1" fillId="0" borderId="62" xfId="0" applyNumberFormat="1" applyFont="1" applyBorder="1" applyAlignment="1" applyProtection="1">
      <alignment horizontal="center" vertical="center" wrapText="1"/>
      <protection/>
    </xf>
    <xf numFmtId="0" fontId="36" fillId="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0" borderId="0" xfId="0" applyNumberFormat="1" applyFont="1" applyAlignment="1" applyProtection="1">
      <alignment horizontal="center"/>
      <protection/>
    </xf>
    <xf numFmtId="14" fontId="0" fillId="2" borderId="58" xfId="0" applyNumberFormat="1" applyFont="1" applyFill="1" applyBorder="1" applyAlignment="1" applyProtection="1">
      <alignment/>
      <protection locked="0"/>
    </xf>
    <xf numFmtId="168" fontId="0" fillId="2" borderId="82" xfId="0" applyNumberFormat="1" applyFill="1" applyBorder="1" applyAlignment="1" applyProtection="1">
      <alignment/>
      <protection/>
    </xf>
    <xf numFmtId="0" fontId="0" fillId="2" borderId="0" xfId="0" applyFont="1" applyFill="1" applyAlignment="1" applyProtection="1">
      <alignment/>
      <protection/>
    </xf>
    <xf numFmtId="49" fontId="0" fillId="2" borderId="85" xfId="0" applyNumberFormat="1" applyFont="1" applyFill="1" applyBorder="1" applyAlignment="1" applyProtection="1">
      <alignment/>
      <protection locked="0"/>
    </xf>
    <xf numFmtId="0" fontId="0" fillId="5" borderId="71" xfId="0" applyFont="1" applyFill="1" applyBorder="1" applyAlignment="1" applyProtection="1">
      <alignment/>
      <protection/>
    </xf>
    <xf numFmtId="0" fontId="0" fillId="5" borderId="65" xfId="0" applyFont="1" applyFill="1" applyBorder="1" applyAlignment="1" applyProtection="1">
      <alignment/>
      <protection/>
    </xf>
    <xf numFmtId="0" fontId="0" fillId="0" borderId="0" xfId="0" applyFont="1" applyFill="1" applyAlignment="1" applyProtection="1">
      <alignment/>
      <protection hidden="1"/>
    </xf>
    <xf numFmtId="0" fontId="29" fillId="0" borderId="0" xfId="0" applyFont="1" applyAlignment="1">
      <alignment/>
    </xf>
    <xf numFmtId="0" fontId="0" fillId="5" borderId="86" xfId="0" applyFill="1" applyBorder="1" applyAlignment="1" applyProtection="1">
      <alignment/>
      <protection/>
    </xf>
    <xf numFmtId="0" fontId="37" fillId="0" borderId="0" xfId="0" applyFont="1" applyAlignment="1" applyProtection="1">
      <alignment/>
      <protection/>
    </xf>
    <xf numFmtId="0" fontId="37" fillId="0" borderId="0" xfId="0" applyFont="1" applyAlignment="1" applyProtection="1">
      <alignment horizontal="centerContinuous"/>
      <protection/>
    </xf>
    <xf numFmtId="1" fontId="0" fillId="0" borderId="0" xfId="0" applyNumberFormat="1" applyAlignment="1" applyProtection="1">
      <alignment horizontal="right"/>
      <protection/>
    </xf>
    <xf numFmtId="1" fontId="1" fillId="0" borderId="0" xfId="0" applyNumberFormat="1" applyFont="1" applyAlignment="1" applyProtection="1">
      <alignment vertical="center"/>
      <protection/>
    </xf>
    <xf numFmtId="0" fontId="28" fillId="0" borderId="0" xfId="0" applyFont="1" applyFill="1" applyAlignment="1">
      <alignment/>
    </xf>
    <xf numFmtId="0" fontId="29" fillId="0" borderId="0" xfId="0" applyFont="1" applyFill="1" applyAlignment="1">
      <alignment/>
    </xf>
    <xf numFmtId="0" fontId="29" fillId="0" borderId="0" xfId="0" applyFont="1" applyFill="1" applyAlignment="1" applyProtection="1">
      <alignment/>
      <protection hidden="1"/>
    </xf>
    <xf numFmtId="0" fontId="29" fillId="0" borderId="0" xfId="0" applyFont="1" applyFill="1" applyAlignment="1" applyProtection="1">
      <alignment/>
      <protection/>
    </xf>
    <xf numFmtId="0" fontId="29" fillId="0" borderId="0" xfId="0" applyFont="1" applyFill="1" applyAlignment="1">
      <alignment horizontal="left"/>
    </xf>
    <xf numFmtId="49" fontId="29" fillId="0" borderId="0" xfId="0" applyNumberFormat="1" applyFont="1" applyFill="1" applyAlignment="1">
      <alignment/>
    </xf>
    <xf numFmtId="0" fontId="29" fillId="0" borderId="0" xfId="0" applyFont="1" applyBorder="1" applyAlignment="1">
      <alignment vertical="top" wrapText="1"/>
    </xf>
    <xf numFmtId="49" fontId="0" fillId="5" borderId="58" xfId="0" applyNumberFormat="1" applyFont="1" applyFill="1" applyBorder="1" applyAlignment="1" applyProtection="1">
      <alignment/>
      <protection/>
    </xf>
    <xf numFmtId="3" fontId="0" fillId="0" borderId="0" xfId="0" applyNumberFormat="1" applyAlignment="1">
      <alignment/>
    </xf>
    <xf numFmtId="49" fontId="39" fillId="0" borderId="0" xfId="25" applyNumberFormat="1" applyFont="1" applyAlignment="1">
      <alignment/>
      <protection/>
    </xf>
    <xf numFmtId="0" fontId="29" fillId="0" borderId="0" xfId="26" applyFont="1">
      <alignment/>
      <protection/>
    </xf>
    <xf numFmtId="0" fontId="39" fillId="0" borderId="0" xfId="0" applyNumberFormat="1" applyFont="1" applyBorder="1" applyAlignment="1">
      <alignment horizontal="right"/>
    </xf>
    <xf numFmtId="0" fontId="40" fillId="0" borderId="0" xfId="25" applyNumberFormat="1" applyFont="1" applyAlignment="1">
      <alignment horizontal="centerContinuous" vertical="center"/>
      <protection/>
    </xf>
    <xf numFmtId="0" fontId="41" fillId="0" borderId="0" xfId="26" applyFont="1" applyAlignment="1">
      <alignment horizontal="centerContinuous" vertical="center"/>
      <protection/>
    </xf>
    <xf numFmtId="0" fontId="40" fillId="0" borderId="0" xfId="0" applyNumberFormat="1" applyFont="1" applyBorder="1" applyAlignment="1">
      <alignment horizontal="centerContinuous" vertical="center"/>
    </xf>
    <xf numFmtId="0" fontId="29" fillId="0" borderId="0" xfId="26" applyFont="1" applyAlignment="1">
      <alignment horizontal="centerContinuous"/>
      <protection/>
    </xf>
    <xf numFmtId="0" fontId="29" fillId="0" borderId="0" xfId="26" applyFont="1" applyAlignment="1">
      <alignment horizontal="centerContinuous" vertical="center"/>
      <protection/>
    </xf>
    <xf numFmtId="0" fontId="39" fillId="0" borderId="0" xfId="0" applyNumberFormat="1" applyFont="1" applyBorder="1" applyAlignment="1">
      <alignment horizontal="centerContinuous" vertical="center"/>
    </xf>
    <xf numFmtId="0" fontId="39" fillId="0" borderId="0" xfId="0" applyNumberFormat="1" applyFont="1" applyBorder="1" applyAlignment="1">
      <alignment horizontal="centerContinuous"/>
    </xf>
    <xf numFmtId="0" fontId="38" fillId="0" borderId="0" xfId="26" applyFont="1">
      <alignment/>
      <protection/>
    </xf>
    <xf numFmtId="0" fontId="28" fillId="0" borderId="0" xfId="26" applyFont="1">
      <alignment/>
      <protection/>
    </xf>
    <xf numFmtId="0" fontId="29" fillId="0" borderId="0" xfId="26" applyFont="1" applyAlignment="1">
      <alignment wrapText="1"/>
      <protection/>
    </xf>
    <xf numFmtId="0" fontId="43" fillId="0" borderId="0" xfId="26" applyFont="1" applyAlignment="1">
      <alignment wrapText="1"/>
      <protection/>
    </xf>
    <xf numFmtId="0" fontId="45" fillId="0" borderId="0" xfId="26" applyFont="1">
      <alignment/>
      <protection/>
    </xf>
    <xf numFmtId="0" fontId="43" fillId="0" borderId="0" xfId="26" applyFont="1">
      <alignment/>
      <protection/>
    </xf>
    <xf numFmtId="0" fontId="29" fillId="0" borderId="0" xfId="26" applyFont="1" applyAlignment="1">
      <alignment vertical="center"/>
      <protection/>
    </xf>
    <xf numFmtId="0" fontId="29" fillId="0" borderId="0" xfId="26" applyFont="1" applyAlignment="1">
      <alignment/>
      <protection/>
    </xf>
    <xf numFmtId="0" fontId="28" fillId="0" borderId="0" xfId="26" applyFont="1" applyAlignment="1">
      <alignment/>
      <protection/>
    </xf>
    <xf numFmtId="0" fontId="29" fillId="0" borderId="0" xfId="26" applyFont="1" applyAlignment="1">
      <alignment horizontal="left" vertical="center" wrapText="1"/>
      <protection/>
    </xf>
    <xf numFmtId="0" fontId="29" fillId="0" borderId="0" xfId="26" applyFont="1" applyAlignment="1">
      <alignment vertical="center" wrapText="1"/>
      <protection/>
    </xf>
    <xf numFmtId="0" fontId="28" fillId="0" borderId="0" xfId="26" applyFont="1" applyAlignment="1">
      <alignment horizontal="left" vertical="center"/>
      <protection/>
    </xf>
    <xf numFmtId="0" fontId="28" fillId="0" borderId="0" xfId="26" applyFont="1" applyAlignment="1">
      <alignment vertical="center"/>
      <protection/>
    </xf>
    <xf numFmtId="0" fontId="45" fillId="0" borderId="0" xfId="26" applyFont="1" applyAlignment="1">
      <alignment vertical="center"/>
      <protection/>
    </xf>
    <xf numFmtId="0" fontId="40" fillId="0" borderId="0" xfId="25" applyNumberFormat="1" applyFont="1" applyAlignment="1">
      <alignment horizontal="centerContinuous"/>
      <protection/>
    </xf>
    <xf numFmtId="0" fontId="41" fillId="0" borderId="0" xfId="26" applyFont="1" applyAlignment="1">
      <alignment vertical="center"/>
      <protection/>
    </xf>
    <xf numFmtId="0" fontId="47" fillId="0" borderId="0" xfId="26" applyFont="1">
      <alignment/>
      <protection/>
    </xf>
    <xf numFmtId="0" fontId="28" fillId="0" borderId="0" xfId="26" applyFont="1" applyAlignment="1">
      <alignment horizontal="left" wrapText="1"/>
      <protection/>
    </xf>
    <xf numFmtId="0" fontId="30" fillId="0" borderId="0" xfId="26" applyFont="1">
      <alignment/>
      <protection/>
    </xf>
    <xf numFmtId="0" fontId="46" fillId="0" borderId="0" xfId="26" applyFont="1">
      <alignment/>
      <protection/>
    </xf>
    <xf numFmtId="0" fontId="28" fillId="5" borderId="30" xfId="26" applyFont="1" applyFill="1" applyBorder="1" applyAlignment="1">
      <alignment horizontal="centerContinuous"/>
      <protection/>
    </xf>
    <xf numFmtId="0" fontId="29" fillId="5" borderId="87" xfId="26" applyFont="1" applyFill="1" applyBorder="1" applyAlignment="1">
      <alignment horizontal="centerContinuous"/>
      <protection/>
    </xf>
    <xf numFmtId="0" fontId="29" fillId="5" borderId="88" xfId="26" applyFont="1" applyFill="1" applyBorder="1" applyAlignment="1">
      <alignment horizontal="centerContinuous"/>
      <protection/>
    </xf>
    <xf numFmtId="0" fontId="28" fillId="5" borderId="89" xfId="26" applyFont="1" applyFill="1" applyBorder="1" applyAlignment="1">
      <alignment horizontal="centerContinuous"/>
      <protection/>
    </xf>
    <xf numFmtId="0" fontId="29" fillId="5" borderId="84" xfId="26" applyFont="1" applyFill="1" applyBorder="1" applyAlignment="1">
      <alignment horizontal="centerContinuous"/>
      <protection/>
    </xf>
    <xf numFmtId="0" fontId="29" fillId="0" borderId="28" xfId="26" applyFont="1" applyBorder="1">
      <alignment/>
      <protection/>
    </xf>
    <xf numFmtId="0" fontId="29" fillId="0" borderId="23" xfId="26" applyFont="1" applyBorder="1" applyAlignment="1">
      <alignment horizontal="left"/>
      <protection/>
    </xf>
    <xf numFmtId="0" fontId="29" fillId="0" borderId="85" xfId="26" applyFont="1" applyBorder="1">
      <alignment/>
      <protection/>
    </xf>
    <xf numFmtId="0" fontId="29" fillId="0" borderId="34" xfId="26" applyFont="1" applyBorder="1">
      <alignment/>
      <protection/>
    </xf>
    <xf numFmtId="0" fontId="29" fillId="0" borderId="23" xfId="26" applyFont="1" applyBorder="1">
      <alignment/>
      <protection/>
    </xf>
    <xf numFmtId="0" fontId="29" fillId="0" borderId="82" xfId="26" applyFont="1" applyBorder="1">
      <alignment/>
      <protection/>
    </xf>
    <xf numFmtId="0" fontId="29" fillId="0" borderId="29" xfId="26" applyFont="1" applyBorder="1">
      <alignment/>
      <protection/>
    </xf>
    <xf numFmtId="0" fontId="29" fillId="0" borderId="90" xfId="26" applyFont="1" applyBorder="1" applyAlignment="1">
      <alignment horizontal="left"/>
      <protection/>
    </xf>
    <xf numFmtId="0" fontId="29" fillId="0" borderId="91" xfId="26" applyFont="1" applyBorder="1">
      <alignment/>
      <protection/>
    </xf>
    <xf numFmtId="0" fontId="29" fillId="0" borderId="92" xfId="26" applyFont="1" applyBorder="1">
      <alignment/>
      <protection/>
    </xf>
    <xf numFmtId="0" fontId="29" fillId="0" borderId="90" xfId="26" applyFont="1" applyBorder="1">
      <alignment/>
      <protection/>
    </xf>
    <xf numFmtId="0" fontId="29" fillId="0" borderId="93" xfId="26" applyFont="1" applyBorder="1">
      <alignment/>
      <protection/>
    </xf>
    <xf numFmtId="0" fontId="28" fillId="5" borderId="94" xfId="26" applyFont="1" applyFill="1" applyBorder="1" applyAlignment="1">
      <alignment horizontal="centerContinuous" vertical="center"/>
      <protection/>
    </xf>
    <xf numFmtId="0" fontId="28" fillId="5" borderId="95" xfId="26" applyFont="1" applyFill="1" applyBorder="1" applyAlignment="1">
      <alignment horizontal="centerContinuous" vertical="center"/>
      <protection/>
    </xf>
    <xf numFmtId="0" fontId="29" fillId="5" borderId="96" xfId="26" applyFont="1" applyFill="1" applyBorder="1" applyAlignment="1">
      <alignment horizontal="centerContinuous" vertical="center"/>
      <protection/>
    </xf>
    <xf numFmtId="0" fontId="28" fillId="5" borderId="95" xfId="26" applyFont="1" applyFill="1" applyBorder="1" applyAlignment="1">
      <alignment horizontal="center"/>
      <protection/>
    </xf>
    <xf numFmtId="0" fontId="28" fillId="5" borderId="97" xfId="26" applyFont="1" applyFill="1" applyBorder="1" applyAlignment="1">
      <alignment horizontal="center"/>
      <protection/>
    </xf>
    <xf numFmtId="0" fontId="29" fillId="0" borderId="98" xfId="26" applyFont="1" applyBorder="1" applyAlignment="1">
      <alignment vertical="center"/>
      <protection/>
    </xf>
    <xf numFmtId="0" fontId="29" fillId="0" borderId="99" xfId="26" applyFont="1" applyBorder="1" applyAlignment="1">
      <alignment vertical="center"/>
      <protection/>
    </xf>
    <xf numFmtId="0" fontId="29" fillId="0" borderId="100" xfId="26" applyFont="1" applyBorder="1" applyAlignment="1">
      <alignment vertical="center"/>
      <protection/>
    </xf>
    <xf numFmtId="0" fontId="29" fillId="0" borderId="101" xfId="26" applyFont="1" applyBorder="1">
      <alignment/>
      <protection/>
    </xf>
    <xf numFmtId="0" fontId="29" fillId="0" borderId="28" xfId="26" applyFont="1" applyBorder="1" applyAlignment="1">
      <alignment vertical="center"/>
      <protection/>
    </xf>
    <xf numFmtId="0" fontId="29" fillId="0" borderId="23" xfId="26" applyFont="1" applyBorder="1" applyAlignment="1">
      <alignment vertical="center"/>
      <protection/>
    </xf>
    <xf numFmtId="0" fontId="29" fillId="0" borderId="76" xfId="26" applyFont="1" applyBorder="1" applyAlignment="1">
      <alignment vertical="center"/>
      <protection/>
    </xf>
    <xf numFmtId="0" fontId="29" fillId="0" borderId="77" xfId="26" applyFont="1" applyBorder="1" applyAlignment="1">
      <alignment vertical="center"/>
      <protection/>
    </xf>
    <xf numFmtId="0" fontId="29" fillId="0" borderId="90" xfId="26" applyFont="1" applyBorder="1" applyAlignment="1">
      <alignment vertical="center"/>
      <protection/>
    </xf>
    <xf numFmtId="0" fontId="29" fillId="0" borderId="0" xfId="26" applyFont="1" applyBorder="1">
      <alignment/>
      <protection/>
    </xf>
    <xf numFmtId="0" fontId="28" fillId="5" borderId="30" xfId="26" applyFont="1" applyFill="1" applyBorder="1" applyAlignment="1">
      <alignment horizontal="centerContinuous" vertical="center"/>
      <protection/>
    </xf>
    <xf numFmtId="0" fontId="28" fillId="5" borderId="88" xfId="26" applyFont="1" applyFill="1" applyBorder="1" applyAlignment="1">
      <alignment horizontal="centerContinuous" vertical="center"/>
      <protection/>
    </xf>
    <xf numFmtId="0" fontId="48" fillId="5" borderId="67" xfId="26" applyFont="1" applyFill="1" applyBorder="1" applyAlignment="1">
      <alignment horizontal="center" vertical="center" wrapText="1"/>
      <protection/>
    </xf>
    <xf numFmtId="0" fontId="48" fillId="5" borderId="68" xfId="26" applyFont="1" applyFill="1" applyBorder="1" applyAlignment="1">
      <alignment horizontal="center" vertical="center" wrapText="1"/>
      <protection/>
    </xf>
    <xf numFmtId="0" fontId="29" fillId="0" borderId="28" xfId="26" applyFont="1" applyBorder="1" applyAlignment="1">
      <alignment/>
      <protection/>
    </xf>
    <xf numFmtId="0" fontId="29" fillId="0" borderId="85" xfId="26" applyFont="1" applyBorder="1" applyAlignment="1">
      <alignment/>
      <protection/>
    </xf>
    <xf numFmtId="0" fontId="29" fillId="0" borderId="58" xfId="26" applyFont="1" applyBorder="1">
      <alignment/>
      <protection/>
    </xf>
    <xf numFmtId="0" fontId="29" fillId="0" borderId="102" xfId="26" applyFont="1" applyBorder="1" applyAlignment="1">
      <alignment/>
      <protection/>
    </xf>
    <xf numFmtId="0" fontId="29" fillId="0" borderId="103" xfId="26" applyFont="1" applyBorder="1" applyAlignment="1">
      <alignment/>
      <protection/>
    </xf>
    <xf numFmtId="0" fontId="28" fillId="0" borderId="104" xfId="26" applyFont="1" applyBorder="1" applyAlignment="1">
      <alignment/>
      <protection/>
    </xf>
    <xf numFmtId="0" fontId="28" fillId="0" borderId="105" xfId="26" applyFont="1" applyBorder="1" applyAlignment="1">
      <alignment/>
      <protection/>
    </xf>
    <xf numFmtId="0" fontId="28" fillId="5" borderId="106" xfId="26" applyFont="1" applyFill="1" applyBorder="1" applyAlignment="1">
      <alignment horizontal="center"/>
      <protection/>
    </xf>
    <xf numFmtId="0" fontId="28" fillId="5" borderId="107" xfId="26" applyFont="1" applyFill="1" applyBorder="1" applyAlignment="1">
      <alignment horizontal="center"/>
      <protection/>
    </xf>
    <xf numFmtId="0" fontId="29" fillId="0" borderId="108" xfId="26" applyFont="1" applyBorder="1" applyAlignment="1">
      <alignment horizontal="center"/>
      <protection/>
    </xf>
    <xf numFmtId="0" fontId="29" fillId="0" borderId="108" xfId="26" applyFont="1" applyBorder="1" applyAlignment="1">
      <alignment horizontal="right"/>
      <protection/>
    </xf>
    <xf numFmtId="0" fontId="29" fillId="0" borderId="109" xfId="26" applyFont="1" applyBorder="1" applyAlignment="1">
      <alignment horizontal="right"/>
      <protection/>
    </xf>
    <xf numFmtId="0" fontId="29" fillId="0" borderId="58" xfId="26" applyFont="1" applyBorder="1" applyAlignment="1">
      <alignment horizontal="right"/>
      <protection/>
    </xf>
    <xf numFmtId="0" fontId="29" fillId="0" borderId="59" xfId="26" applyFont="1" applyBorder="1" applyAlignment="1">
      <alignment horizontal="right"/>
      <protection/>
    </xf>
    <xf numFmtId="0" fontId="29" fillId="0" borderId="77" xfId="26" applyFont="1" applyBorder="1">
      <alignment/>
      <protection/>
    </xf>
    <xf numFmtId="0" fontId="29" fillId="0" borderId="77" xfId="26" applyFont="1" applyBorder="1" applyAlignment="1">
      <alignment horizontal="right"/>
      <protection/>
    </xf>
    <xf numFmtId="0" fontId="29" fillId="0" borderId="78" xfId="26" applyFont="1" applyBorder="1" applyAlignment="1">
      <alignment horizontal="right"/>
      <protection/>
    </xf>
    <xf numFmtId="0" fontId="38" fillId="0" borderId="0" xfId="0" applyFont="1" applyBorder="1" applyAlignment="1">
      <alignment/>
    </xf>
    <xf numFmtId="0" fontId="39" fillId="0" borderId="0" xfId="0" applyFont="1" applyBorder="1" applyAlignment="1">
      <alignment horizontal="right"/>
    </xf>
    <xf numFmtId="0" fontId="38" fillId="0" borderId="0" xfId="0" applyFont="1" applyAlignment="1">
      <alignment horizontal="centerContinuous"/>
    </xf>
    <xf numFmtId="0" fontId="30" fillId="0" borderId="0" xfId="0" applyFont="1" applyAlignment="1">
      <alignment/>
    </xf>
    <xf numFmtId="0" fontId="38" fillId="0" borderId="0" xfId="0" applyFont="1" applyAlignment="1">
      <alignment/>
    </xf>
    <xf numFmtId="0" fontId="32" fillId="5" borderId="67" xfId="0" applyFont="1" applyFill="1" applyBorder="1" applyAlignment="1">
      <alignment horizontal="center" vertical="center" wrapText="1"/>
    </xf>
    <xf numFmtId="0" fontId="32" fillId="5" borderId="68" xfId="0" applyFont="1" applyFill="1" applyBorder="1" applyAlignment="1">
      <alignment horizontal="center" vertical="center" wrapText="1"/>
    </xf>
    <xf numFmtId="0" fontId="35" fillId="5" borderId="71" xfId="0" applyFont="1" applyFill="1" applyBorder="1" applyAlignment="1">
      <alignment horizontal="center" vertical="center" wrapText="1"/>
    </xf>
    <xf numFmtId="4" fontId="33" fillId="5" borderId="58" xfId="0" applyNumberFormat="1" applyFont="1" applyFill="1" applyBorder="1" applyAlignment="1">
      <alignment horizontal="right" vertical="center" wrapText="1"/>
    </xf>
    <xf numFmtId="10" fontId="33" fillId="5" borderId="59" xfId="0" applyNumberFormat="1" applyFont="1" applyFill="1" applyBorder="1" applyAlignment="1">
      <alignment horizontal="right" vertical="center" wrapText="1"/>
    </xf>
    <xf numFmtId="0" fontId="29" fillId="0" borderId="0" xfId="0" applyFont="1" applyAlignment="1">
      <alignment vertical="center"/>
    </xf>
    <xf numFmtId="0" fontId="33" fillId="5" borderId="71" xfId="0" applyFont="1" applyFill="1" applyBorder="1" applyAlignment="1">
      <alignment horizontal="right" vertical="center" wrapText="1"/>
    </xf>
    <xf numFmtId="0" fontId="33" fillId="5" borderId="58" xfId="0" applyFont="1" applyFill="1" applyBorder="1" applyAlignment="1">
      <alignment horizontal="center" vertical="center" wrapText="1"/>
    </xf>
    <xf numFmtId="0" fontId="33" fillId="0" borderId="58" xfId="0" applyFont="1" applyBorder="1" applyAlignment="1">
      <alignment vertical="center" wrapText="1"/>
    </xf>
    <xf numFmtId="4" fontId="33" fillId="0" borderId="58" xfId="0" applyNumberFormat="1" applyFont="1" applyBorder="1" applyAlignment="1">
      <alignment horizontal="right" vertical="center" wrapText="1"/>
    </xf>
    <xf numFmtId="10" fontId="33" fillId="0" borderId="59" xfId="0" applyNumberFormat="1" applyFont="1" applyBorder="1" applyAlignment="1">
      <alignment horizontal="right" vertical="center" wrapText="1"/>
    </xf>
    <xf numFmtId="0" fontId="28" fillId="0" borderId="0" xfId="0" applyFont="1" applyAlignment="1">
      <alignment vertical="center"/>
    </xf>
    <xf numFmtId="0" fontId="33" fillId="5" borderId="58" xfId="0" applyFont="1" applyFill="1" applyBorder="1" applyAlignment="1">
      <alignment horizontal="right" vertical="center" wrapText="1"/>
    </xf>
    <xf numFmtId="0" fontId="35" fillId="5" borderId="71" xfId="0" applyFont="1" applyFill="1" applyBorder="1" applyAlignment="1">
      <alignment vertical="center" wrapText="1"/>
    </xf>
    <xf numFmtId="0" fontId="29" fillId="6" borderId="0" xfId="0" applyFont="1" applyFill="1" applyAlignment="1">
      <alignment vertical="center"/>
    </xf>
    <xf numFmtId="0" fontId="33" fillId="5" borderId="76" xfId="0" applyFont="1" applyFill="1" applyBorder="1" applyAlignment="1">
      <alignment horizontal="right" vertical="center" wrapText="1"/>
    </xf>
    <xf numFmtId="0" fontId="33" fillId="5" borderId="77" xfId="0" applyFont="1" applyFill="1" applyBorder="1" applyAlignment="1">
      <alignment horizontal="right" vertical="center" wrapText="1"/>
    </xf>
    <xf numFmtId="0" fontId="33" fillId="0" borderId="77" xfId="0" applyFont="1" applyBorder="1" applyAlignment="1">
      <alignment vertical="center" wrapText="1"/>
    </xf>
    <xf numFmtId="10" fontId="33" fillId="0" borderId="78" xfId="0" applyNumberFormat="1" applyFont="1" applyBorder="1" applyAlignment="1">
      <alignment horizontal="right" vertical="center" wrapText="1"/>
    </xf>
    <xf numFmtId="0" fontId="33" fillId="0" borderId="0" xfId="0" applyFont="1" applyBorder="1" applyAlignment="1">
      <alignment horizontal="right" vertical="top" wrapText="1"/>
    </xf>
    <xf numFmtId="0" fontId="33" fillId="0" borderId="0" xfId="0" applyFont="1" applyAlignment="1">
      <alignment horizontal="right" vertical="top" wrapText="1"/>
    </xf>
    <xf numFmtId="49" fontId="38" fillId="0" borderId="0" xfId="0" applyNumberFormat="1"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justify"/>
    </xf>
    <xf numFmtId="3" fontId="38" fillId="0" borderId="0" xfId="0" applyNumberFormat="1" applyFont="1" applyBorder="1" applyAlignment="1">
      <alignment/>
    </xf>
    <xf numFmtId="10" fontId="38" fillId="0" borderId="0" xfId="0" applyNumberFormat="1" applyFont="1" applyBorder="1" applyAlignment="1">
      <alignment/>
    </xf>
    <xf numFmtId="49" fontId="38"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justify" vertical="center"/>
    </xf>
    <xf numFmtId="3" fontId="30" fillId="0" borderId="0" xfId="0" applyNumberFormat="1" applyFont="1" applyFill="1" applyBorder="1" applyAlignment="1">
      <alignment vertical="center"/>
    </xf>
    <xf numFmtId="10" fontId="30" fillId="0" borderId="0" xfId="0" applyNumberFormat="1" applyFont="1" applyFill="1" applyBorder="1" applyAlignment="1">
      <alignment vertical="center"/>
    </xf>
    <xf numFmtId="49" fontId="38" fillId="0" borderId="0" xfId="0" applyNumberFormat="1" applyFont="1" applyFill="1" applyBorder="1" applyAlignment="1">
      <alignment horizontal="center"/>
    </xf>
    <xf numFmtId="0" fontId="38" fillId="0" borderId="0" xfId="0" applyFont="1" applyFill="1" applyBorder="1" applyAlignment="1">
      <alignment horizontal="center"/>
    </xf>
    <xf numFmtId="0" fontId="38" fillId="0" borderId="0" xfId="0" applyFont="1" applyFill="1" applyBorder="1" applyAlignment="1">
      <alignment horizontal="justify"/>
    </xf>
    <xf numFmtId="3" fontId="38" fillId="0" borderId="0" xfId="0" applyNumberFormat="1" applyFont="1" applyFill="1" applyBorder="1" applyAlignment="1">
      <alignment/>
    </xf>
    <xf numFmtId="10" fontId="38" fillId="0" borderId="0" xfId="0" applyNumberFormat="1" applyFont="1" applyFill="1" applyBorder="1" applyAlignment="1">
      <alignment/>
    </xf>
    <xf numFmtId="0" fontId="30" fillId="0" borderId="0" xfId="0" applyFont="1" applyFill="1" applyBorder="1" applyAlignment="1">
      <alignment horizontal="center"/>
    </xf>
    <xf numFmtId="0" fontId="30" fillId="0" borderId="0" xfId="0" applyFont="1" applyFill="1" applyBorder="1" applyAlignment="1">
      <alignment horizontal="justify"/>
    </xf>
    <xf numFmtId="3" fontId="30" fillId="0" borderId="0" xfId="0" applyNumberFormat="1" applyFont="1" applyFill="1" applyBorder="1" applyAlignment="1">
      <alignment/>
    </xf>
    <xf numFmtId="10" fontId="30" fillId="0" borderId="0" xfId="0" applyNumberFormat="1" applyFont="1" applyFill="1" applyBorder="1" applyAlignment="1">
      <alignment/>
    </xf>
    <xf numFmtId="49" fontId="38" fillId="0" borderId="0" xfId="0" applyNumberFormat="1"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wrapText="1"/>
    </xf>
    <xf numFmtId="0" fontId="29" fillId="0" borderId="0" xfId="0" applyFont="1" applyAlignment="1">
      <alignment/>
    </xf>
    <xf numFmtId="0" fontId="29" fillId="0" borderId="0" xfId="0" applyFont="1" applyFill="1" applyBorder="1" applyAlignment="1">
      <alignment/>
    </xf>
    <xf numFmtId="0" fontId="29" fillId="0" borderId="0" xfId="0" applyFont="1" applyBorder="1" applyAlignment="1">
      <alignment/>
    </xf>
    <xf numFmtId="0" fontId="29" fillId="0" borderId="0" xfId="26">
      <alignment/>
      <protection/>
    </xf>
    <xf numFmtId="0" fontId="50" fillId="0" borderId="0" xfId="26" applyFont="1">
      <alignment/>
      <protection/>
    </xf>
    <xf numFmtId="0" fontId="29" fillId="0" borderId="58" xfId="26" applyBorder="1">
      <alignment/>
      <protection/>
    </xf>
    <xf numFmtId="0" fontId="28" fillId="7" borderId="58" xfId="26" applyFont="1" applyFill="1" applyBorder="1" applyAlignment="1">
      <alignment horizontal="center" vertical="center"/>
      <protection/>
    </xf>
    <xf numFmtId="0" fontId="29" fillId="0" borderId="0" xfId="26" applyAlignment="1">
      <alignment vertical="center"/>
      <protection/>
    </xf>
    <xf numFmtId="0" fontId="28" fillId="7" borderId="58" xfId="26" applyFont="1" applyFill="1" applyBorder="1" applyAlignment="1">
      <alignment horizontal="center" vertical="center" wrapText="1"/>
      <protection/>
    </xf>
    <xf numFmtId="0" fontId="51" fillId="0" borderId="0" xfId="0" applyFont="1" applyBorder="1" applyAlignment="1">
      <alignment/>
    </xf>
    <xf numFmtId="0" fontId="51" fillId="0" borderId="0" xfId="0" applyFont="1" applyAlignment="1">
      <alignment/>
    </xf>
    <xf numFmtId="0" fontId="51" fillId="0" borderId="0" xfId="0" applyFont="1" applyAlignment="1">
      <alignment horizontal="centerContinuous"/>
    </xf>
    <xf numFmtId="0" fontId="41" fillId="0" borderId="0" xfId="25" applyNumberFormat="1" applyFont="1" applyAlignment="1">
      <alignment horizontal="centerContinuous"/>
      <protection/>
    </xf>
    <xf numFmtId="0" fontId="29" fillId="0" borderId="0" xfId="0" applyFont="1" applyAlignment="1">
      <alignment horizontal="centerContinuous"/>
    </xf>
    <xf numFmtId="0" fontId="47" fillId="0" borderId="0" xfId="26" applyFont="1" applyAlignment="1">
      <alignment horizontal="centerContinuous"/>
      <protection/>
    </xf>
    <xf numFmtId="0" fontId="28" fillId="5" borderId="58" xfId="26" applyFont="1" applyFill="1" applyBorder="1" applyAlignment="1">
      <alignment horizontal="center"/>
      <protection/>
    </xf>
    <xf numFmtId="0" fontId="28" fillId="5" borderId="77" xfId="26" applyFont="1" applyFill="1" applyBorder="1" applyAlignment="1">
      <alignment horizontal="center" vertical="center" wrapText="1"/>
      <protection/>
    </xf>
    <xf numFmtId="0" fontId="29" fillId="5" borderId="77" xfId="26" applyFont="1" applyFill="1" applyBorder="1">
      <alignment/>
      <protection/>
    </xf>
    <xf numFmtId="0" fontId="28" fillId="5" borderId="77" xfId="26" applyFont="1" applyFill="1" applyBorder="1" applyAlignment="1">
      <alignment horizontal="center" vertical="center"/>
      <protection/>
    </xf>
    <xf numFmtId="0" fontId="28" fillId="5" borderId="76" xfId="26" applyFont="1" applyFill="1" applyBorder="1" applyAlignment="1">
      <alignment horizontal="center" vertical="center"/>
      <protection/>
    </xf>
    <xf numFmtId="0" fontId="28" fillId="5" borderId="92" xfId="26" applyFont="1" applyFill="1" applyBorder="1" applyAlignment="1">
      <alignment horizontal="center" vertical="center" wrapText="1"/>
      <protection/>
    </xf>
    <xf numFmtId="0" fontId="29" fillId="8" borderId="108" xfId="26" applyFont="1" applyFill="1" applyBorder="1" applyAlignment="1">
      <alignment vertical="center"/>
      <protection/>
    </xf>
    <xf numFmtId="3" fontId="29" fillId="8" borderId="108" xfId="26" applyNumberFormat="1" applyFont="1" applyFill="1" applyBorder="1" applyAlignment="1">
      <alignment horizontal="right" vertical="center"/>
      <protection/>
    </xf>
    <xf numFmtId="3" fontId="29" fillId="8" borderId="110" xfId="26" applyNumberFormat="1" applyFont="1" applyFill="1" applyBorder="1" applyAlignment="1">
      <alignment horizontal="right" vertical="center"/>
      <protection/>
    </xf>
    <xf numFmtId="3" fontId="29" fillId="8" borderId="111" xfId="26" applyNumberFormat="1" applyFont="1" applyFill="1" applyBorder="1" applyAlignment="1">
      <alignment horizontal="right" vertical="center"/>
      <protection/>
    </xf>
    <xf numFmtId="0" fontId="29" fillId="0" borderId="58" xfId="26" applyFont="1" applyBorder="1" applyAlignment="1">
      <alignment vertical="center"/>
      <protection/>
    </xf>
    <xf numFmtId="3" fontId="29" fillId="0" borderId="58" xfId="26" applyNumberFormat="1" applyFont="1" applyBorder="1" applyAlignment="1">
      <alignment horizontal="right" vertical="center"/>
      <protection/>
    </xf>
    <xf numFmtId="3" fontId="29" fillId="0" borderId="59" xfId="26" applyNumberFormat="1" applyFont="1" applyBorder="1" applyAlignment="1">
      <alignment horizontal="right" vertical="center"/>
      <protection/>
    </xf>
    <xf numFmtId="3" fontId="29" fillId="0" borderId="71" xfId="26" applyNumberFormat="1" applyFont="1" applyBorder="1" applyAlignment="1">
      <alignment horizontal="right" vertical="center"/>
      <protection/>
    </xf>
    <xf numFmtId="3" fontId="29" fillId="0" borderId="34" xfId="26" applyNumberFormat="1" applyFont="1" applyBorder="1" applyAlignment="1">
      <alignment horizontal="right" vertical="center"/>
      <protection/>
    </xf>
    <xf numFmtId="3" fontId="29" fillId="5" borderId="58" xfId="26" applyNumberFormat="1" applyFont="1" applyFill="1" applyBorder="1" applyAlignment="1">
      <alignment horizontal="right" vertical="center"/>
      <protection/>
    </xf>
    <xf numFmtId="3" fontId="29" fillId="5" borderId="34" xfId="26" applyNumberFormat="1" applyFont="1" applyFill="1" applyBorder="1" applyAlignment="1">
      <alignment horizontal="right" vertical="center"/>
      <protection/>
    </xf>
    <xf numFmtId="0" fontId="29" fillId="0" borderId="85" xfId="26" applyFont="1" applyBorder="1" applyAlignment="1">
      <alignment vertical="center"/>
      <protection/>
    </xf>
    <xf numFmtId="0" fontId="29" fillId="0" borderId="112" xfId="26" applyFont="1" applyBorder="1" applyAlignment="1">
      <alignment vertical="center"/>
      <protection/>
    </xf>
    <xf numFmtId="3" fontId="29" fillId="0" borderId="112" xfId="26" applyNumberFormat="1" applyFont="1" applyBorder="1" applyAlignment="1">
      <alignment horizontal="right" vertical="center"/>
      <protection/>
    </xf>
    <xf numFmtId="3" fontId="29" fillId="0" borderId="20" xfId="26" applyNumberFormat="1" applyFont="1" applyBorder="1" applyAlignment="1">
      <alignment horizontal="right" vertical="center"/>
      <protection/>
    </xf>
    <xf numFmtId="3" fontId="29" fillId="5" borderId="112" xfId="26" applyNumberFormat="1" applyFont="1" applyFill="1" applyBorder="1" applyAlignment="1">
      <alignment horizontal="right" vertical="center"/>
      <protection/>
    </xf>
    <xf numFmtId="3" fontId="29" fillId="5" borderId="113" xfId="26" applyNumberFormat="1" applyFont="1" applyFill="1" applyBorder="1" applyAlignment="1">
      <alignment horizontal="right" vertical="center"/>
      <protection/>
    </xf>
    <xf numFmtId="0" fontId="28" fillId="0" borderId="9" xfId="26" applyFont="1" applyBorder="1" applyAlignment="1">
      <alignment vertical="center"/>
      <protection/>
    </xf>
    <xf numFmtId="0" fontId="29" fillId="0" borderId="10" xfId="26" applyFont="1" applyBorder="1" applyAlignment="1">
      <alignment vertical="center"/>
      <protection/>
    </xf>
    <xf numFmtId="3" fontId="29" fillId="0" borderId="77" xfId="26" applyNumberFormat="1" applyFont="1" applyBorder="1" applyAlignment="1">
      <alignment horizontal="right" vertical="center"/>
      <protection/>
    </xf>
    <xf numFmtId="3" fontId="29" fillId="8" borderId="77" xfId="26" applyNumberFormat="1" applyFont="1" applyFill="1" applyBorder="1" applyAlignment="1">
      <alignment horizontal="right" vertical="center"/>
      <protection/>
    </xf>
    <xf numFmtId="3" fontId="29" fillId="8" borderId="76" xfId="26" applyNumberFormat="1" applyFont="1" applyFill="1" applyBorder="1" applyAlignment="1">
      <alignment horizontal="right" vertical="center"/>
      <protection/>
    </xf>
    <xf numFmtId="3" fontId="29" fillId="8" borderId="92" xfId="26" applyNumberFormat="1" applyFont="1" applyFill="1" applyBorder="1" applyAlignment="1">
      <alignment horizontal="right" vertical="center"/>
      <protection/>
    </xf>
    <xf numFmtId="0" fontId="28" fillId="0" borderId="0" xfId="0" applyFont="1" applyAlignment="1">
      <alignment/>
    </xf>
    <xf numFmtId="0" fontId="52" fillId="0" borderId="0" xfId="0" applyFont="1" applyAlignment="1">
      <alignment/>
    </xf>
    <xf numFmtId="0" fontId="28" fillId="5" borderId="85" xfId="26" applyFont="1" applyFill="1" applyBorder="1" applyAlignment="1">
      <alignment horizontal="center"/>
      <protection/>
    </xf>
    <xf numFmtId="0" fontId="29" fillId="5" borderId="91" xfId="26" applyFont="1" applyFill="1" applyBorder="1">
      <alignment/>
      <protection/>
    </xf>
    <xf numFmtId="0" fontId="29" fillId="0" borderId="30" xfId="26" applyFont="1" applyBorder="1" applyAlignment="1">
      <alignment vertical="center"/>
      <protection/>
    </xf>
    <xf numFmtId="3" fontId="29" fillId="0" borderId="85" xfId="26" applyNumberFormat="1" applyFont="1" applyBorder="1" applyAlignment="1">
      <alignment horizontal="right" vertical="center"/>
      <protection/>
    </xf>
    <xf numFmtId="0" fontId="29" fillId="0" borderId="29" xfId="26" applyFont="1" applyBorder="1" applyAlignment="1">
      <alignment vertical="center"/>
      <protection/>
    </xf>
    <xf numFmtId="0" fontId="29" fillId="0" borderId="114" xfId="26" applyFont="1" applyBorder="1" applyAlignment="1">
      <alignment vertical="center"/>
      <protection/>
    </xf>
    <xf numFmtId="3" fontId="29" fillId="0" borderId="114" xfId="26" applyNumberFormat="1" applyFont="1" applyBorder="1" applyAlignment="1">
      <alignment horizontal="right" vertical="center"/>
      <protection/>
    </xf>
    <xf numFmtId="0" fontId="30" fillId="0" borderId="0" xfId="26" applyFont="1" applyAlignment="1">
      <alignment horizontal="centerContinuous"/>
      <protection/>
    </xf>
    <xf numFmtId="0" fontId="29" fillId="0" borderId="110" xfId="26" applyFont="1" applyBorder="1">
      <alignment/>
      <protection/>
    </xf>
    <xf numFmtId="3" fontId="29" fillId="0" borderId="108" xfId="26" applyNumberFormat="1" applyFont="1" applyBorder="1">
      <alignment/>
      <protection/>
    </xf>
    <xf numFmtId="3" fontId="29" fillId="0" borderId="109" xfId="26" applyNumberFormat="1" applyFont="1" applyBorder="1">
      <alignment/>
      <protection/>
    </xf>
    <xf numFmtId="0" fontId="29" fillId="0" borderId="71" xfId="26" applyFont="1" applyBorder="1">
      <alignment/>
      <protection/>
    </xf>
    <xf numFmtId="3" fontId="29" fillId="0" borderId="58" xfId="26" applyNumberFormat="1" applyFont="1" applyBorder="1">
      <alignment/>
      <protection/>
    </xf>
    <xf numFmtId="3" fontId="29" fillId="0" borderId="59" xfId="26" applyNumberFormat="1" applyFont="1" applyBorder="1">
      <alignment/>
      <protection/>
    </xf>
    <xf numFmtId="0" fontId="29" fillId="0" borderId="76" xfId="26" applyFont="1" applyBorder="1">
      <alignment/>
      <protection/>
    </xf>
    <xf numFmtId="3" fontId="29" fillId="0" borderId="77" xfId="26" applyNumberFormat="1" applyFont="1" applyBorder="1">
      <alignment/>
      <protection/>
    </xf>
    <xf numFmtId="3" fontId="29" fillId="0" borderId="78" xfId="26" applyNumberFormat="1" applyFont="1" applyBorder="1">
      <alignment/>
      <protection/>
    </xf>
    <xf numFmtId="0" fontId="28" fillId="0" borderId="0" xfId="26" applyFont="1">
      <alignment/>
      <protection/>
    </xf>
    <xf numFmtId="0" fontId="29" fillId="0" borderId="108" xfId="26" applyBorder="1">
      <alignment/>
      <protection/>
    </xf>
    <xf numFmtId="0" fontId="47" fillId="0" borderId="0" xfId="26" applyFont="1" applyAlignment="1">
      <alignment horizontal="centerContinuous"/>
      <protection/>
    </xf>
    <xf numFmtId="0" fontId="29" fillId="0" borderId="0" xfId="26" applyAlignment="1">
      <alignment horizontal="centerContinuous"/>
      <protection/>
    </xf>
    <xf numFmtId="0" fontId="53" fillId="0" borderId="0" xfId="28" applyFont="1" applyAlignment="1">
      <alignment vertical="center" wrapText="1"/>
      <protection/>
    </xf>
    <xf numFmtId="0" fontId="54" fillId="0" borderId="0" xfId="28" applyFont="1" applyAlignment="1">
      <alignment vertical="center" wrapText="1"/>
      <protection/>
    </xf>
    <xf numFmtId="3" fontId="54" fillId="0" borderId="0" xfId="28" applyNumberFormat="1" applyFont="1" applyAlignment="1">
      <alignment vertical="center" wrapText="1"/>
      <protection/>
    </xf>
    <xf numFmtId="0" fontId="29" fillId="5" borderId="108" xfId="0" applyFont="1" applyFill="1" applyBorder="1" applyAlignment="1">
      <alignment horizontal="center" vertical="center" wrapText="1"/>
    </xf>
    <xf numFmtId="0" fontId="29" fillId="0" borderId="71" xfId="0" applyFont="1" applyBorder="1" applyAlignment="1">
      <alignment horizontal="left" vertical="center" wrapText="1"/>
    </xf>
    <xf numFmtId="3" fontId="29" fillId="0" borderId="58" xfId="0" applyNumberFormat="1" applyFont="1" applyBorder="1" applyAlignment="1">
      <alignment horizontal="right" vertical="center" wrapText="1"/>
    </xf>
    <xf numFmtId="3" fontId="29" fillId="0" borderId="59" xfId="0" applyNumberFormat="1" applyFont="1" applyBorder="1" applyAlignment="1">
      <alignment horizontal="right" vertical="center" wrapText="1"/>
    </xf>
    <xf numFmtId="0" fontId="29" fillId="0" borderId="20" xfId="0" applyFont="1" applyBorder="1" applyAlignment="1">
      <alignment horizontal="left" vertical="center" wrapText="1"/>
    </xf>
    <xf numFmtId="3" fontId="29" fillId="0" borderId="112" xfId="0" applyNumberFormat="1" applyFont="1" applyBorder="1" applyAlignment="1">
      <alignment horizontal="right" vertical="center" wrapText="1"/>
    </xf>
    <xf numFmtId="3" fontId="29" fillId="0" borderId="115" xfId="0" applyNumberFormat="1" applyFont="1" applyBorder="1" applyAlignment="1">
      <alignment horizontal="right" vertical="center" wrapText="1"/>
    </xf>
    <xf numFmtId="0" fontId="28" fillId="0" borderId="9" xfId="0" applyFont="1" applyBorder="1" applyAlignment="1">
      <alignment horizontal="left" vertical="center" wrapText="1"/>
    </xf>
    <xf numFmtId="3" fontId="28" fillId="0" borderId="10" xfId="0" applyNumberFormat="1" applyFont="1" applyBorder="1" applyAlignment="1">
      <alignment horizontal="right" vertical="center" wrapText="1"/>
    </xf>
    <xf numFmtId="3" fontId="28" fillId="0" borderId="11" xfId="0" applyNumberFormat="1" applyFont="1" applyBorder="1" applyAlignment="1">
      <alignment horizontal="right" vertical="center" wrapText="1"/>
    </xf>
    <xf numFmtId="0" fontId="29" fillId="0" borderId="110" xfId="0" applyFont="1" applyBorder="1" applyAlignment="1">
      <alignment horizontal="left" vertical="center" wrapText="1"/>
    </xf>
    <xf numFmtId="3" fontId="29" fillId="0" borderId="108" xfId="0" applyNumberFormat="1" applyFont="1" applyBorder="1" applyAlignment="1">
      <alignment horizontal="right" vertical="center" wrapText="1"/>
    </xf>
    <xf numFmtId="3" fontId="29" fillId="0" borderId="109" xfId="0" applyNumberFormat="1" applyFont="1" applyBorder="1" applyAlignment="1">
      <alignment horizontal="right" vertical="center" wrapText="1"/>
    </xf>
    <xf numFmtId="3" fontId="29" fillId="0" borderId="0" xfId="26" applyNumberFormat="1" applyFont="1">
      <alignment/>
      <protection/>
    </xf>
    <xf numFmtId="0" fontId="28" fillId="0" borderId="0" xfId="0" applyFont="1" applyAlignment="1">
      <alignment horizontal="left"/>
    </xf>
    <xf numFmtId="0" fontId="54" fillId="0" borderId="0" xfId="28" applyFont="1" applyBorder="1" applyAlignment="1">
      <alignment vertical="center" wrapText="1"/>
      <protection/>
    </xf>
    <xf numFmtId="0" fontId="53" fillId="0" borderId="0" xfId="28" applyFont="1" applyBorder="1" applyAlignment="1">
      <alignment vertical="center" wrapText="1"/>
      <protection/>
    </xf>
    <xf numFmtId="0" fontId="53" fillId="0" borderId="0" xfId="28" applyFont="1" applyBorder="1" applyAlignment="1">
      <alignment horizontal="center" vertical="center" wrapText="1"/>
      <protection/>
    </xf>
    <xf numFmtId="0" fontId="54" fillId="0" borderId="116" xfId="28" applyFont="1" applyBorder="1" applyAlignment="1" applyProtection="1">
      <alignment vertical="center" wrapText="1"/>
      <protection locked="0"/>
    </xf>
    <xf numFmtId="3" fontId="54" fillId="0" borderId="117" xfId="28" applyNumberFormat="1" applyFont="1" applyBorder="1" applyAlignment="1" applyProtection="1">
      <alignment horizontal="right" vertical="center"/>
      <protection locked="0"/>
    </xf>
    <xf numFmtId="3" fontId="54" fillId="0" borderId="118" xfId="28" applyNumberFormat="1" applyFont="1" applyBorder="1" applyAlignment="1" applyProtection="1">
      <alignment horizontal="right" vertical="center"/>
      <protection locked="0"/>
    </xf>
    <xf numFmtId="0" fontId="54" fillId="0" borderId="119" xfId="28" applyFont="1" applyBorder="1" applyAlignment="1" applyProtection="1">
      <alignment vertical="center" wrapText="1"/>
      <protection locked="0"/>
    </xf>
    <xf numFmtId="0" fontId="54" fillId="0" borderId="120" xfId="28" applyFont="1" applyBorder="1" applyAlignment="1" applyProtection="1">
      <alignment vertical="center" wrapText="1"/>
      <protection locked="0"/>
    </xf>
    <xf numFmtId="3" fontId="54" fillId="0" borderId="121" xfId="28" applyNumberFormat="1" applyFont="1" applyBorder="1" applyAlignment="1" applyProtection="1">
      <alignment horizontal="right" vertical="center"/>
      <protection locked="0"/>
    </xf>
    <xf numFmtId="3" fontId="54" fillId="0" borderId="122" xfId="28" applyNumberFormat="1" applyFont="1" applyBorder="1" applyAlignment="1" applyProtection="1">
      <alignment horizontal="right" vertical="center"/>
      <protection locked="0"/>
    </xf>
    <xf numFmtId="3" fontId="54" fillId="0" borderId="123" xfId="28" applyNumberFormat="1" applyFont="1" applyBorder="1" applyAlignment="1" applyProtection="1">
      <alignment horizontal="right" vertical="center"/>
      <protection locked="0"/>
    </xf>
    <xf numFmtId="3" fontId="54" fillId="0" borderId="124" xfId="28" applyNumberFormat="1" applyFont="1" applyBorder="1" applyAlignment="1" applyProtection="1">
      <alignment horizontal="right" vertical="center"/>
      <protection locked="0"/>
    </xf>
    <xf numFmtId="0" fontId="54" fillId="0" borderId="125" xfId="28" applyFont="1" applyBorder="1" applyAlignment="1" applyProtection="1">
      <alignment vertical="center" wrapText="1"/>
      <protection locked="0"/>
    </xf>
    <xf numFmtId="3" fontId="54" fillId="0" borderId="126" xfId="28" applyNumberFormat="1" applyFont="1" applyBorder="1" applyAlignment="1" applyProtection="1">
      <alignment horizontal="right" vertical="center"/>
      <protection locked="0"/>
    </xf>
    <xf numFmtId="3" fontId="54" fillId="0" borderId="127" xfId="28" applyNumberFormat="1" applyFont="1" applyBorder="1" applyAlignment="1" applyProtection="1">
      <alignment horizontal="right" vertical="center"/>
      <protection locked="0"/>
    </xf>
    <xf numFmtId="3" fontId="54" fillId="0" borderId="128" xfId="28" applyNumberFormat="1" applyFont="1" applyBorder="1" applyAlignment="1" applyProtection="1">
      <alignment horizontal="right" vertical="center"/>
      <protection locked="0"/>
    </xf>
    <xf numFmtId="3" fontId="54" fillId="0" borderId="129" xfId="28" applyNumberFormat="1" applyFont="1" applyBorder="1" applyAlignment="1" applyProtection="1">
      <alignment horizontal="right" vertical="center"/>
      <protection locked="0"/>
    </xf>
    <xf numFmtId="0" fontId="29" fillId="0" borderId="0" xfId="26" applyAlignment="1">
      <alignment horizontal="center"/>
      <protection/>
    </xf>
    <xf numFmtId="0" fontId="29" fillId="8" borderId="58" xfId="26" applyFill="1" applyBorder="1" applyAlignment="1">
      <alignment horizontal="center" vertical="center" wrapText="1"/>
      <protection/>
    </xf>
    <xf numFmtId="0" fontId="28" fillId="7" borderId="58" xfId="26" applyFont="1" applyFill="1" applyBorder="1" applyAlignment="1">
      <alignment horizontal="center"/>
      <protection/>
    </xf>
    <xf numFmtId="0" fontId="0" fillId="0" borderId="0" xfId="0" applyNumberFormat="1" applyAlignment="1" applyProtection="1">
      <alignment/>
      <protection/>
    </xf>
    <xf numFmtId="0" fontId="29" fillId="0" borderId="0" xfId="0" applyFont="1" applyBorder="1" applyAlignment="1">
      <alignment vertical="center"/>
    </xf>
    <xf numFmtId="0" fontId="28" fillId="0" borderId="0" xfId="0" applyFont="1" applyAlignment="1">
      <alignment/>
    </xf>
    <xf numFmtId="0" fontId="39" fillId="0" borderId="0" xfId="25" applyNumberFormat="1" applyFont="1" applyAlignment="1">
      <alignment/>
      <protection/>
    </xf>
    <xf numFmtId="0" fontId="39" fillId="0" borderId="0" xfId="0" applyNumberFormat="1" applyFont="1" applyBorder="1" applyAlignment="1">
      <alignment horizontal="left" vertical="center"/>
    </xf>
    <xf numFmtId="0" fontId="29" fillId="0" borderId="0" xfId="26" applyFont="1" applyAlignment="1">
      <alignment horizontal="left"/>
      <protection/>
    </xf>
    <xf numFmtId="0" fontId="46" fillId="0" borderId="0" xfId="0" applyFont="1" applyAlignment="1">
      <alignment horizontal="left" vertical="center"/>
    </xf>
    <xf numFmtId="0" fontId="57" fillId="0" borderId="0" xfId="26" applyFont="1" applyAlignment="1">
      <alignment horizontal="left" vertical="center"/>
      <protection/>
    </xf>
    <xf numFmtId="0" fontId="46" fillId="0" borderId="0" xfId="0" applyNumberFormat="1" applyFont="1" applyBorder="1" applyAlignment="1">
      <alignment horizontal="left" vertical="center"/>
    </xf>
    <xf numFmtId="0" fontId="57" fillId="0" borderId="0" xfId="26" applyFont="1" applyAlignment="1">
      <alignment horizontal="left"/>
      <protection/>
    </xf>
    <xf numFmtId="0" fontId="57" fillId="0" borderId="0" xfId="26" applyFont="1">
      <alignment/>
      <protection/>
    </xf>
    <xf numFmtId="0" fontId="29" fillId="0" borderId="0" xfId="0" applyNumberFormat="1" applyFont="1" applyBorder="1" applyAlignment="1">
      <alignment horizontal="right" vertical="center"/>
    </xf>
    <xf numFmtId="0" fontId="6" fillId="9" borderId="77" xfId="27" applyFont="1" applyFill="1" applyBorder="1" applyAlignment="1" applyProtection="1">
      <alignment horizontal="center" vertical="center"/>
      <protection hidden="1"/>
    </xf>
    <xf numFmtId="49" fontId="46" fillId="8" borderId="130" xfId="26" applyNumberFormat="1" applyFont="1" applyFill="1" applyBorder="1" applyAlignment="1">
      <alignment horizontal="center"/>
      <protection/>
    </xf>
    <xf numFmtId="49" fontId="46" fillId="8" borderId="84" xfId="26" applyNumberFormat="1" applyFont="1" applyFill="1" applyBorder="1" applyAlignment="1">
      <alignment horizontal="right"/>
      <protection/>
    </xf>
    <xf numFmtId="3" fontId="29" fillId="8" borderId="59" xfId="26" applyNumberFormat="1" applyFont="1" applyFill="1" applyBorder="1">
      <alignment/>
      <protection/>
    </xf>
    <xf numFmtId="3" fontId="29" fillId="8" borderId="78" xfId="26" applyNumberFormat="1" applyFont="1" applyFill="1" applyBorder="1">
      <alignment/>
      <protection/>
    </xf>
    <xf numFmtId="3" fontId="57" fillId="0" borderId="59" xfId="26" applyNumberFormat="1" applyFont="1" applyBorder="1">
      <alignment/>
      <protection/>
    </xf>
    <xf numFmtId="3" fontId="46" fillId="8" borderId="59" xfId="26" applyNumberFormat="1" applyFont="1" applyFill="1" applyBorder="1" applyAlignment="1">
      <alignment horizontal="right"/>
      <protection/>
    </xf>
    <xf numFmtId="0" fontId="16" fillId="8" borderId="58" xfId="27" applyFont="1" applyFill="1" applyBorder="1" applyAlignment="1" applyProtection="1">
      <alignment horizontal="center" vertical="center"/>
      <protection hidden="1"/>
    </xf>
    <xf numFmtId="0" fontId="6" fillId="8" borderId="58" xfId="27" applyFont="1" applyFill="1" applyBorder="1" applyAlignment="1" applyProtection="1">
      <alignment horizontal="center" vertical="center"/>
      <protection hidden="1"/>
    </xf>
    <xf numFmtId="0" fontId="2" fillId="0" borderId="0" xfId="0" applyFont="1" applyAlignment="1" applyProtection="1">
      <alignment horizontal="centerContinuous"/>
      <protection/>
    </xf>
    <xf numFmtId="0" fontId="58" fillId="0" borderId="0" xfId="0" applyFont="1" applyAlignment="1" applyProtection="1">
      <alignment horizontal="centerContinuous"/>
      <protection/>
    </xf>
    <xf numFmtId="0" fontId="59" fillId="0" borderId="0" xfId="0" applyFont="1" applyAlignment="1" applyProtection="1">
      <alignment horizontal="right"/>
      <protection/>
    </xf>
    <xf numFmtId="0" fontId="59" fillId="0" borderId="0" xfId="0" applyNumberFormat="1" applyFont="1" applyAlignment="1" applyProtection="1">
      <alignment horizontal="right"/>
      <protection/>
    </xf>
    <xf numFmtId="0" fontId="46" fillId="0" borderId="0" xfId="0" applyFont="1" applyAlignment="1">
      <alignment/>
    </xf>
    <xf numFmtId="166" fontId="29" fillId="8" borderId="110" xfId="15" applyNumberFormat="1" applyFont="1" applyFill="1" applyBorder="1" applyAlignment="1" applyProtection="1">
      <alignment vertical="center"/>
      <protection/>
    </xf>
    <xf numFmtId="166" fontId="60" fillId="8" borderId="66" xfId="15" applyNumberFormat="1" applyFont="1" applyFill="1" applyBorder="1" applyAlignment="1" applyProtection="1">
      <alignment horizontal="center" vertical="center" wrapText="1"/>
      <protection/>
    </xf>
    <xf numFmtId="166" fontId="60" fillId="8" borderId="67" xfId="15" applyNumberFormat="1" applyFont="1" applyFill="1" applyBorder="1" applyAlignment="1" applyProtection="1">
      <alignment horizontal="center" vertical="center" wrapText="1"/>
      <protection/>
    </xf>
    <xf numFmtId="10" fontId="29" fillId="0" borderId="58" xfId="15" applyNumberFormat="1" applyFont="1" applyBorder="1" applyAlignment="1" applyProtection="1">
      <alignment vertical="center"/>
      <protection locked="0"/>
    </xf>
    <xf numFmtId="3" fontId="29" fillId="0" borderId="58" xfId="15" applyNumberFormat="1" applyFont="1" applyBorder="1" applyAlignment="1" applyProtection="1">
      <alignment vertical="center"/>
      <protection locked="0"/>
    </xf>
    <xf numFmtId="10" fontId="29" fillId="0" borderId="77" xfId="15" applyNumberFormat="1" applyFont="1" applyBorder="1" applyAlignment="1" applyProtection="1">
      <alignment vertical="center"/>
      <protection locked="0"/>
    </xf>
    <xf numFmtId="3" fontId="29" fillId="0" borderId="77" xfId="15" applyNumberFormat="1" applyFont="1" applyBorder="1" applyAlignment="1" applyProtection="1">
      <alignment vertical="center"/>
      <protection locked="0"/>
    </xf>
    <xf numFmtId="166" fontId="29" fillId="0" borderId="71" xfId="15" applyNumberFormat="1" applyFont="1" applyFill="1" applyBorder="1" applyAlignment="1" applyProtection="1">
      <alignment horizontal="left" vertical="center"/>
      <protection locked="0"/>
    </xf>
    <xf numFmtId="166" fontId="29" fillId="0" borderId="71" xfId="15" applyNumberFormat="1" applyFont="1" applyBorder="1" applyAlignment="1" applyProtection="1">
      <alignment horizontal="left" vertical="center"/>
      <protection locked="0"/>
    </xf>
    <xf numFmtId="166" fontId="29" fillId="0" borderId="76" xfId="15" applyNumberFormat="1" applyFont="1" applyBorder="1" applyAlignment="1" applyProtection="1">
      <alignment horizontal="left" vertical="center"/>
      <protection locked="0"/>
    </xf>
    <xf numFmtId="166" fontId="29" fillId="0" borderId="58" xfId="15" applyNumberFormat="1" applyFont="1" applyBorder="1" applyAlignment="1" applyProtection="1">
      <alignment horizontal="left" vertical="center"/>
      <protection locked="0"/>
    </xf>
    <xf numFmtId="166" fontId="29" fillId="0" borderId="77" xfId="15" applyNumberFormat="1" applyFont="1" applyBorder="1" applyAlignment="1" applyProtection="1">
      <alignment horizontal="left" vertical="center"/>
      <protection locked="0"/>
    </xf>
    <xf numFmtId="3" fontId="29" fillId="0" borderId="58" xfId="33" applyNumberFormat="1" applyFont="1" applyBorder="1" applyAlignment="1" applyProtection="1">
      <alignment vertical="center"/>
      <protection locked="0"/>
    </xf>
    <xf numFmtId="3" fontId="29" fillId="0" borderId="77" xfId="33" applyNumberFormat="1" applyFont="1" applyBorder="1" applyAlignment="1" applyProtection="1">
      <alignment vertical="center"/>
      <protection locked="0"/>
    </xf>
    <xf numFmtId="166" fontId="60" fillId="8" borderId="68" xfId="15" applyNumberFormat="1" applyFont="1" applyFill="1" applyBorder="1" applyAlignment="1" applyProtection="1">
      <alignment horizontal="center" vertical="center" wrapText="1"/>
      <protection/>
    </xf>
    <xf numFmtId="3" fontId="29" fillId="8" borderId="59" xfId="15" applyNumberFormat="1" applyFont="1" applyFill="1" applyBorder="1" applyAlignment="1" applyProtection="1">
      <alignment vertical="center"/>
      <protection/>
    </xf>
    <xf numFmtId="49" fontId="28" fillId="0" borderId="0" xfId="26" applyNumberFormat="1" applyFont="1">
      <alignment/>
      <protection/>
    </xf>
    <xf numFmtId="166" fontId="29" fillId="8" borderId="111" xfId="15" applyNumberFormat="1" applyFont="1" applyFill="1" applyBorder="1" applyAlignment="1" applyProtection="1">
      <alignment vertical="center"/>
      <protection/>
    </xf>
    <xf numFmtId="166" fontId="60" fillId="0" borderId="0" xfId="15" applyNumberFormat="1" applyFont="1" applyFill="1" applyBorder="1" applyAlignment="1" applyProtection="1">
      <alignment horizontal="center" vertical="center" wrapText="1"/>
      <protection/>
    </xf>
    <xf numFmtId="10" fontId="29" fillId="0" borderId="0" xfId="33" applyNumberFormat="1" applyFont="1" applyFill="1" applyBorder="1" applyAlignment="1" applyProtection="1">
      <alignment vertical="center"/>
      <protection/>
    </xf>
    <xf numFmtId="166" fontId="29" fillId="0" borderId="0" xfId="15" applyNumberFormat="1" applyFont="1" applyFill="1" applyBorder="1" applyAlignment="1" applyProtection="1">
      <alignment vertical="center"/>
      <protection/>
    </xf>
    <xf numFmtId="3" fontId="29" fillId="0" borderId="0" xfId="33" applyNumberFormat="1" applyFont="1" applyFill="1" applyBorder="1" applyAlignment="1" applyProtection="1">
      <alignment vertical="center"/>
      <protection locked="0"/>
    </xf>
    <xf numFmtId="3" fontId="29" fillId="0" borderId="0" xfId="15" applyNumberFormat="1" applyFont="1" applyFill="1" applyBorder="1" applyAlignment="1" applyProtection="1">
      <alignment vertical="center"/>
      <protection locked="0"/>
    </xf>
    <xf numFmtId="3" fontId="29" fillId="0" borderId="0" xfId="33" applyNumberFormat="1" applyFont="1" applyFill="1" applyBorder="1" applyAlignment="1" applyProtection="1">
      <alignment vertical="center"/>
      <protection/>
    </xf>
    <xf numFmtId="3" fontId="29" fillId="0" borderId="0" xfId="15" applyNumberFormat="1" applyFont="1" applyFill="1" applyBorder="1" applyAlignment="1" applyProtection="1">
      <alignment vertical="center"/>
      <protection/>
    </xf>
    <xf numFmtId="10" fontId="29" fillId="0" borderId="59" xfId="15" applyNumberFormat="1" applyFont="1" applyBorder="1" applyAlignment="1" applyProtection="1">
      <alignment vertical="center"/>
      <protection locked="0"/>
    </xf>
    <xf numFmtId="10" fontId="29" fillId="0" borderId="78" xfId="15" applyNumberFormat="1" applyFont="1" applyBorder="1" applyAlignment="1" applyProtection="1">
      <alignment vertical="center"/>
      <protection locked="0"/>
    </xf>
    <xf numFmtId="166" fontId="29" fillId="8" borderId="131" xfId="15" applyNumberFormat="1" applyFont="1" applyFill="1" applyBorder="1" applyAlignment="1" applyProtection="1">
      <alignment vertical="center"/>
      <protection/>
    </xf>
    <xf numFmtId="166" fontId="29" fillId="8" borderId="23" xfId="15" applyNumberFormat="1" applyFont="1" applyFill="1" applyBorder="1" applyAlignment="1" applyProtection="1">
      <alignment vertical="center"/>
      <protection/>
    </xf>
    <xf numFmtId="166" fontId="29" fillId="8" borderId="28" xfId="15" applyNumberFormat="1" applyFont="1" applyFill="1" applyBorder="1" applyAlignment="1" applyProtection="1">
      <alignment vertical="center"/>
      <protection/>
    </xf>
    <xf numFmtId="166" fontId="29" fillId="8" borderId="23" xfId="15" applyNumberFormat="1" applyFont="1" applyFill="1" applyBorder="1" applyAlignment="1" applyProtection="1">
      <alignment horizontal="left" vertical="center"/>
      <protection/>
    </xf>
    <xf numFmtId="10" fontId="29" fillId="8" borderId="23" xfId="15" applyNumberFormat="1" applyFont="1" applyFill="1" applyBorder="1" applyAlignment="1" applyProtection="1">
      <alignment vertical="center"/>
      <protection/>
    </xf>
    <xf numFmtId="10" fontId="29" fillId="8" borderId="82" xfId="15" applyNumberFormat="1" applyFont="1" applyFill="1" applyBorder="1" applyAlignment="1" applyProtection="1">
      <alignment vertical="center"/>
      <protection/>
    </xf>
    <xf numFmtId="166" fontId="29" fillId="8" borderId="28" xfId="15" applyNumberFormat="1" applyFont="1" applyFill="1" applyBorder="1" applyAlignment="1" applyProtection="1">
      <alignment horizontal="left" vertical="center"/>
      <protection/>
    </xf>
    <xf numFmtId="166" fontId="28" fillId="8" borderId="29" xfId="15" applyNumberFormat="1" applyFont="1" applyFill="1" applyBorder="1" applyAlignment="1" applyProtection="1">
      <alignment horizontal="left" vertical="center"/>
      <protection/>
    </xf>
    <xf numFmtId="166" fontId="28" fillId="8" borderId="132" xfId="15" applyNumberFormat="1" applyFont="1" applyFill="1" applyBorder="1" applyAlignment="1" applyProtection="1">
      <alignment horizontal="left" vertical="center"/>
      <protection/>
    </xf>
    <xf numFmtId="10" fontId="28" fillId="8" borderId="132" xfId="15" applyNumberFormat="1" applyFont="1" applyFill="1" applyBorder="1" applyAlignment="1" applyProtection="1">
      <alignment vertical="center"/>
      <protection/>
    </xf>
    <xf numFmtId="10" fontId="28" fillId="8" borderId="93" xfId="15" applyNumberFormat="1" applyFont="1" applyFill="1" applyBorder="1" applyAlignment="1" applyProtection="1">
      <alignment vertical="center"/>
      <protection/>
    </xf>
    <xf numFmtId="0" fontId="38" fillId="0" borderId="0" xfId="0" applyFont="1" applyAlignment="1">
      <alignment horizontal="left"/>
    </xf>
    <xf numFmtId="0" fontId="29" fillId="0" borderId="0" xfId="0" applyFont="1" applyAlignment="1">
      <alignment horizontal="left"/>
    </xf>
    <xf numFmtId="0" fontId="29" fillId="0" borderId="0" xfId="26" applyAlignment="1">
      <alignment horizontal="left"/>
      <protection/>
    </xf>
    <xf numFmtId="0" fontId="29" fillId="0" borderId="0" xfId="26" applyAlignment="1">
      <alignment/>
      <protection/>
    </xf>
    <xf numFmtId="0" fontId="46" fillId="0" borderId="0" xfId="26" applyFont="1" applyBorder="1" applyAlignment="1">
      <alignment wrapText="1"/>
      <protection/>
    </xf>
    <xf numFmtId="10" fontId="29" fillId="8" borderId="23" xfId="33" applyNumberFormat="1" applyFont="1" applyFill="1" applyBorder="1" applyAlignment="1" applyProtection="1">
      <alignment vertical="center"/>
      <protection/>
    </xf>
    <xf numFmtId="166" fontId="29" fillId="8" borderId="82" xfId="15" applyNumberFormat="1" applyFont="1" applyFill="1" applyBorder="1" applyAlignment="1" applyProtection="1">
      <alignment vertical="center"/>
      <protection/>
    </xf>
    <xf numFmtId="3" fontId="29" fillId="8" borderId="23" xfId="33" applyNumberFormat="1" applyFont="1" applyFill="1" applyBorder="1" applyAlignment="1" applyProtection="1">
      <alignment vertical="center"/>
      <protection/>
    </xf>
    <xf numFmtId="3" fontId="29" fillId="8" borderId="23" xfId="15" applyNumberFormat="1" applyFont="1" applyFill="1" applyBorder="1" applyAlignment="1" applyProtection="1">
      <alignment vertical="center"/>
      <protection/>
    </xf>
    <xf numFmtId="3" fontId="29" fillId="8" borderId="82" xfId="15" applyNumberFormat="1" applyFont="1" applyFill="1" applyBorder="1" applyAlignment="1" applyProtection="1">
      <alignment vertical="center"/>
      <protection/>
    </xf>
    <xf numFmtId="166" fontId="29" fillId="8" borderId="82" xfId="15" applyNumberFormat="1" applyFont="1" applyFill="1" applyBorder="1" applyAlignment="1" applyProtection="1">
      <alignment horizontal="right" vertical="center"/>
      <protection/>
    </xf>
    <xf numFmtId="166" fontId="29" fillId="8" borderId="23" xfId="15" applyNumberFormat="1" applyFont="1" applyFill="1" applyBorder="1" applyAlignment="1" applyProtection="1">
      <alignment horizontal="left" vertical="center"/>
      <protection locked="0"/>
    </xf>
    <xf numFmtId="10" fontId="29" fillId="8" borderId="23" xfId="15" applyNumberFormat="1" applyFont="1" applyFill="1" applyBorder="1" applyAlignment="1" applyProtection="1">
      <alignment vertical="center"/>
      <protection locked="0"/>
    </xf>
    <xf numFmtId="3" fontId="29" fillId="8" borderId="23" xfId="33" applyNumberFormat="1" applyFont="1" applyFill="1" applyBorder="1" applyAlignment="1" applyProtection="1">
      <alignment vertical="center"/>
      <protection locked="0"/>
    </xf>
    <xf numFmtId="3" fontId="29" fillId="8" borderId="23" xfId="15" applyNumberFormat="1" applyFont="1" applyFill="1" applyBorder="1" applyAlignment="1" applyProtection="1">
      <alignment vertical="center"/>
      <protection locked="0"/>
    </xf>
    <xf numFmtId="3" fontId="29" fillId="8" borderId="78" xfId="15" applyNumberFormat="1" applyFont="1" applyFill="1" applyBorder="1" applyAlignment="1" applyProtection="1">
      <alignment vertical="center"/>
      <protection/>
    </xf>
    <xf numFmtId="166" fontId="29" fillId="0" borderId="0" xfId="15" applyNumberFormat="1" applyFont="1" applyFill="1" applyBorder="1" applyAlignment="1" applyProtection="1">
      <alignment horizontal="right" vertical="center"/>
      <protection/>
    </xf>
    <xf numFmtId="10" fontId="29" fillId="8" borderId="82" xfId="15" applyNumberFormat="1" applyFont="1" applyFill="1" applyBorder="1" applyAlignment="1" applyProtection="1">
      <alignment vertical="center"/>
      <protection locked="0"/>
    </xf>
    <xf numFmtId="0" fontId="46" fillId="0" borderId="0" xfId="26" applyFont="1" applyBorder="1" applyAlignment="1">
      <alignment vertical="center" wrapText="1"/>
      <protection/>
    </xf>
    <xf numFmtId="0" fontId="29" fillId="0" borderId="71" xfId="15" applyNumberFormat="1" applyFont="1" applyFill="1" applyBorder="1" applyAlignment="1" applyProtection="1">
      <alignment horizontal="left" vertical="center"/>
      <protection locked="0"/>
    </xf>
    <xf numFmtId="0" fontId="29" fillId="0" borderId="58" xfId="15" applyNumberFormat="1" applyFont="1" applyBorder="1" applyAlignment="1" applyProtection="1">
      <alignment horizontal="left" vertical="center"/>
      <protection locked="0"/>
    </xf>
    <xf numFmtId="0" fontId="29" fillId="8" borderId="28" xfId="15" applyNumberFormat="1" applyFont="1" applyFill="1" applyBorder="1" applyAlignment="1" applyProtection="1">
      <alignment horizontal="left" vertical="center"/>
      <protection/>
    </xf>
    <xf numFmtId="0" fontId="29" fillId="8" borderId="23" xfId="15" applyNumberFormat="1" applyFont="1" applyFill="1" applyBorder="1" applyAlignment="1" applyProtection="1">
      <alignment horizontal="left" vertical="center"/>
      <protection locked="0"/>
    </xf>
    <xf numFmtId="0" fontId="61" fillId="8" borderId="28" xfId="15" applyNumberFormat="1" applyFont="1" applyFill="1" applyBorder="1" applyAlignment="1" applyProtection="1">
      <alignment horizontal="left" vertical="center"/>
      <protection/>
    </xf>
    <xf numFmtId="0" fontId="29" fillId="8" borderId="23" xfId="15" applyNumberFormat="1" applyFont="1" applyFill="1" applyBorder="1" applyAlignment="1" applyProtection="1">
      <alignment horizontal="left" vertical="center"/>
      <protection/>
    </xf>
    <xf numFmtId="0" fontId="29" fillId="0" borderId="76" xfId="15" applyNumberFormat="1" applyFont="1" applyFill="1" applyBorder="1" applyAlignment="1" applyProtection="1">
      <alignment horizontal="left" vertical="center"/>
      <protection locked="0"/>
    </xf>
    <xf numFmtId="0" fontId="29" fillId="0" borderId="77" xfId="15" applyNumberFormat="1" applyFont="1" applyBorder="1" applyAlignment="1" applyProtection="1">
      <alignment horizontal="left" vertical="center"/>
      <protection locked="0"/>
    </xf>
    <xf numFmtId="2" fontId="29" fillId="0" borderId="0" xfId="0" applyNumberFormat="1" applyFont="1" applyAlignment="1">
      <alignment horizontal="center" vertical="center"/>
    </xf>
    <xf numFmtId="2" fontId="62" fillId="0" borderId="0" xfId="0" applyNumberFormat="1" applyFont="1" applyAlignment="1">
      <alignment horizontal="centerContinuous" vertical="center" wrapText="1"/>
    </xf>
    <xf numFmtId="2" fontId="63" fillId="0" borderId="0" xfId="0" applyNumberFormat="1" applyFont="1" applyAlignment="1">
      <alignment horizontal="centerContinuous" vertical="center" wrapText="1"/>
    </xf>
    <xf numFmtId="0" fontId="64" fillId="0" borderId="0" xfId="26" applyFont="1" applyAlignment="1">
      <alignment horizontal="centerContinuous"/>
      <protection/>
    </xf>
    <xf numFmtId="0" fontId="65" fillId="0" borderId="0" xfId="0" applyNumberFormat="1" applyFont="1" applyBorder="1" applyAlignment="1">
      <alignment horizontal="centerContinuous" vertical="center"/>
    </xf>
    <xf numFmtId="0" fontId="45" fillId="0" borderId="0" xfId="26" applyFont="1" applyAlignment="1">
      <alignment horizontal="left" vertical="center"/>
      <protection/>
    </xf>
    <xf numFmtId="0" fontId="65" fillId="0" borderId="0" xfId="0" applyNumberFormat="1" applyFont="1" applyBorder="1" applyAlignment="1">
      <alignment horizontal="left" vertical="center"/>
    </xf>
    <xf numFmtId="0" fontId="44" fillId="0" borderId="0" xfId="0" applyFont="1" applyAlignment="1">
      <alignment horizontal="left" vertical="center"/>
    </xf>
    <xf numFmtId="0" fontId="29" fillId="0" borderId="0" xfId="26" applyFont="1" applyAlignment="1">
      <alignment horizontal="left" vertical="center"/>
      <protection/>
    </xf>
    <xf numFmtId="0" fontId="64" fillId="0" borderId="0" xfId="26" applyFont="1" applyAlignment="1">
      <alignment horizontal="centerContinuous" vertical="center"/>
      <protection/>
    </xf>
    <xf numFmtId="0" fontId="43" fillId="0" borderId="0" xfId="26" applyFont="1" applyAlignment="1">
      <alignment horizontal="centerContinuous" vertical="center"/>
      <protection/>
    </xf>
    <xf numFmtId="0" fontId="28" fillId="0" borderId="0" xfId="26" applyFont="1" applyAlignment="1">
      <alignment horizontal="centerContinuous" vertical="center"/>
      <protection/>
    </xf>
    <xf numFmtId="0" fontId="46" fillId="0" borderId="0" xfId="26" applyFont="1" applyAlignment="1">
      <alignment/>
      <protection/>
    </xf>
    <xf numFmtId="0" fontId="28" fillId="8" borderId="23" xfId="26" applyFont="1" applyFill="1" applyBorder="1" applyAlignment="1">
      <alignment horizontal="left" vertical="center"/>
      <protection/>
    </xf>
    <xf numFmtId="0" fontId="28" fillId="8" borderId="85" xfId="26" applyFont="1" applyFill="1" applyBorder="1" applyAlignment="1">
      <alignment horizontal="left" vertical="center"/>
      <protection/>
    </xf>
    <xf numFmtId="0" fontId="28" fillId="8" borderId="28" xfId="26" applyFont="1" applyFill="1" applyBorder="1" applyAlignment="1">
      <alignment horizontal="left" vertical="center"/>
      <protection/>
    </xf>
    <xf numFmtId="0" fontId="66" fillId="0" borderId="0" xfId="26" applyFont="1" applyFill="1" applyAlignment="1">
      <alignment/>
      <protection/>
    </xf>
    <xf numFmtId="0" fontId="67" fillId="0" borderId="0" xfId="0" applyFont="1" applyFill="1" applyAlignment="1">
      <alignment horizontal="left"/>
    </xf>
    <xf numFmtId="0" fontId="66" fillId="0" borderId="0" xfId="26" applyFont="1" applyFill="1">
      <alignment/>
      <protection/>
    </xf>
    <xf numFmtId="0" fontId="66" fillId="0" borderId="0" xfId="26" applyFont="1">
      <alignment/>
      <protection/>
    </xf>
    <xf numFmtId="0" fontId="66" fillId="0" borderId="0" xfId="26" applyFont="1" applyAlignment="1">
      <alignment vertical="center"/>
      <protection/>
    </xf>
    <xf numFmtId="0" fontId="66" fillId="0" borderId="0" xfId="26" applyFont="1" applyAlignment="1">
      <alignment/>
      <protection/>
    </xf>
    <xf numFmtId="0" fontId="66" fillId="0" borderId="0" xfId="26" applyFont="1" applyAlignment="1">
      <alignment horizontal="left"/>
      <protection/>
    </xf>
    <xf numFmtId="0" fontId="39" fillId="0" borderId="0" xfId="0" applyFont="1" applyAlignment="1">
      <alignment horizontal="right"/>
    </xf>
    <xf numFmtId="0" fontId="39" fillId="0" borderId="0" xfId="0" applyFont="1" applyAlignment="1">
      <alignment horizontal="centerContinuous"/>
    </xf>
    <xf numFmtId="0" fontId="48" fillId="6" borderId="0" xfId="28" applyFont="1" applyFill="1" applyAlignment="1">
      <alignment vertical="center" wrapText="1"/>
      <protection/>
    </xf>
    <xf numFmtId="0" fontId="48" fillId="6" borderId="90" xfId="28" applyFont="1" applyFill="1" applyBorder="1" applyAlignment="1">
      <alignment horizontal="center" vertical="center" wrapText="1"/>
      <protection/>
    </xf>
    <xf numFmtId="0" fontId="48" fillId="6" borderId="77" xfId="28" applyFont="1" applyFill="1" applyBorder="1" applyAlignment="1">
      <alignment horizontal="center" vertical="center" wrapText="1"/>
      <protection/>
    </xf>
    <xf numFmtId="0" fontId="48" fillId="6" borderId="0" xfId="28" applyFont="1" applyFill="1" applyBorder="1" applyAlignment="1">
      <alignment vertical="center" wrapText="1"/>
      <protection/>
    </xf>
    <xf numFmtId="0" fontId="68" fillId="6" borderId="0" xfId="28" applyFont="1" applyFill="1" applyBorder="1" applyAlignment="1">
      <alignment vertical="center" wrapText="1"/>
      <protection/>
    </xf>
    <xf numFmtId="0" fontId="68" fillId="6" borderId="0" xfId="28" applyFont="1" applyFill="1" applyAlignment="1">
      <alignment vertical="center" wrapText="1"/>
      <protection/>
    </xf>
    <xf numFmtId="0" fontId="68" fillId="0" borderId="0" xfId="26" applyFont="1">
      <alignment/>
      <protection/>
    </xf>
    <xf numFmtId="0" fontId="68" fillId="0" borderId="0" xfId="26" applyFont="1" applyAlignment="1">
      <alignment horizontal="right"/>
      <protection/>
    </xf>
    <xf numFmtId="0" fontId="40" fillId="0" borderId="0" xfId="25" applyNumberFormat="1" applyFont="1" applyAlignment="1">
      <alignment horizontal="left"/>
      <protection/>
    </xf>
    <xf numFmtId="3" fontId="68" fillId="6" borderId="12" xfId="28" applyNumberFormat="1" applyFont="1" applyFill="1" applyBorder="1" applyAlignment="1">
      <alignment horizontal="right" vertical="center" wrapText="1"/>
      <protection/>
    </xf>
    <xf numFmtId="3" fontId="68" fillId="6" borderId="108" xfId="28" applyNumberFormat="1" applyFont="1" applyFill="1" applyBorder="1" applyAlignment="1">
      <alignment horizontal="right" vertical="center" wrapText="1"/>
      <protection/>
    </xf>
    <xf numFmtId="3" fontId="68" fillId="8" borderId="12" xfId="28" applyNumberFormat="1" applyFont="1" applyFill="1" applyBorder="1" applyAlignment="1">
      <alignment horizontal="right" vertical="center" wrapText="1"/>
      <protection/>
    </xf>
    <xf numFmtId="3" fontId="68" fillId="6" borderId="23" xfId="28" applyNumberFormat="1" applyFont="1" applyFill="1" applyBorder="1" applyAlignment="1">
      <alignment horizontal="right" vertical="center" wrapText="1"/>
      <protection/>
    </xf>
    <xf numFmtId="3" fontId="68" fillId="6" borderId="58" xfId="28" applyNumberFormat="1" applyFont="1" applyFill="1" applyBorder="1" applyAlignment="1">
      <alignment horizontal="right" vertical="center" wrapText="1"/>
      <protection/>
    </xf>
    <xf numFmtId="3" fontId="68" fillId="8" borderId="23" xfId="28" applyNumberFormat="1" applyFont="1" applyFill="1" applyBorder="1" applyAlignment="1">
      <alignment horizontal="right" vertical="center" wrapText="1"/>
      <protection/>
    </xf>
    <xf numFmtId="3" fontId="68" fillId="6" borderId="133" xfId="28" applyNumberFormat="1" applyFont="1" applyFill="1" applyBorder="1" applyAlignment="1">
      <alignment horizontal="right" vertical="center" wrapText="1"/>
      <protection/>
    </xf>
    <xf numFmtId="3" fontId="68" fillId="6" borderId="112" xfId="28" applyNumberFormat="1" applyFont="1" applyFill="1" applyBorder="1" applyAlignment="1">
      <alignment horizontal="right" vertical="center" wrapText="1"/>
      <protection/>
    </xf>
    <xf numFmtId="3" fontId="68" fillId="8" borderId="133" xfId="28" applyNumberFormat="1" applyFont="1" applyFill="1" applyBorder="1" applyAlignment="1">
      <alignment horizontal="right" vertical="center" wrapText="1"/>
      <protection/>
    </xf>
    <xf numFmtId="0" fontId="28" fillId="5" borderId="134" xfId="26" applyFont="1" applyFill="1" applyBorder="1" applyAlignment="1">
      <alignment horizontal="centerContinuous"/>
      <protection/>
    </xf>
    <xf numFmtId="0" fontId="28" fillId="5" borderId="135" xfId="26" applyFont="1" applyFill="1" applyBorder="1" applyAlignment="1">
      <alignment horizontal="centerContinuous"/>
      <protection/>
    </xf>
    <xf numFmtId="0" fontId="28" fillId="5" borderId="136" xfId="26" applyFont="1" applyFill="1" applyBorder="1" applyAlignment="1">
      <alignment horizontal="centerContinuous"/>
      <protection/>
    </xf>
    <xf numFmtId="0" fontId="28" fillId="5" borderId="118" xfId="26" applyFont="1" applyFill="1" applyBorder="1" applyAlignment="1">
      <alignment horizontal="centerContinuous"/>
      <protection/>
    </xf>
    <xf numFmtId="0" fontId="28" fillId="8" borderId="121" xfId="26" applyFont="1" applyFill="1" applyBorder="1" applyAlignment="1">
      <alignment vertical="center"/>
      <protection/>
    </xf>
    <xf numFmtId="3" fontId="29" fillId="8" borderId="122" xfId="26" applyNumberFormat="1" applyFont="1" applyFill="1" applyBorder="1" applyAlignment="1">
      <alignment horizontal="right" vertical="center"/>
      <protection/>
    </xf>
    <xf numFmtId="0" fontId="29" fillId="0" borderId="123" xfId="26" applyFont="1" applyBorder="1" applyAlignment="1">
      <alignment vertical="center"/>
      <protection/>
    </xf>
    <xf numFmtId="0" fontId="29" fillId="0" borderId="119" xfId="26" applyFont="1" applyBorder="1" applyAlignment="1">
      <alignment vertical="center"/>
      <protection/>
    </xf>
    <xf numFmtId="0" fontId="29" fillId="0" borderId="137" xfId="26" applyFont="1" applyBorder="1" applyAlignment="1">
      <alignment vertical="center"/>
      <protection/>
    </xf>
    <xf numFmtId="0" fontId="29" fillId="0" borderId="138" xfId="26" applyFont="1" applyBorder="1" applyAlignment="1">
      <alignment vertical="center"/>
      <protection/>
    </xf>
    <xf numFmtId="3" fontId="29" fillId="8" borderId="139" xfId="26" applyNumberFormat="1" applyFont="1" applyFill="1" applyBorder="1" applyAlignment="1">
      <alignment horizontal="right" vertical="center"/>
      <protection/>
    </xf>
    <xf numFmtId="3" fontId="68" fillId="0" borderId="112" xfId="28" applyNumberFormat="1" applyFont="1" applyFill="1" applyBorder="1" applyAlignment="1">
      <alignment horizontal="right" vertical="center" wrapText="1"/>
      <protection/>
    </xf>
    <xf numFmtId="0" fontId="48" fillId="0" borderId="0" xfId="28" applyFont="1" applyAlignment="1">
      <alignment vertical="center" wrapText="1"/>
      <protection/>
    </xf>
    <xf numFmtId="0" fontId="48" fillId="0" borderId="140" xfId="28" applyFont="1" applyBorder="1" applyAlignment="1">
      <alignment horizontal="center" vertical="center" wrapText="1"/>
      <protection/>
    </xf>
    <xf numFmtId="0" fontId="48" fillId="0" borderId="141" xfId="28" applyFont="1" applyBorder="1" applyAlignment="1">
      <alignment horizontal="center" vertical="center" wrapText="1"/>
      <protection/>
    </xf>
    <xf numFmtId="0" fontId="48" fillId="0" borderId="142" xfId="28" applyFont="1" applyBorder="1" applyAlignment="1">
      <alignment horizontal="center" vertical="center" wrapText="1"/>
      <protection/>
    </xf>
    <xf numFmtId="0" fontId="48" fillId="0" borderId="127" xfId="28" applyFont="1" applyBorder="1" applyAlignment="1">
      <alignment horizontal="center" vertical="center" wrapText="1"/>
      <protection/>
    </xf>
    <xf numFmtId="0" fontId="68" fillId="0" borderId="116" xfId="0" applyNumberFormat="1" applyFont="1" applyBorder="1" applyAlignment="1" applyProtection="1">
      <alignment/>
      <protection/>
    </xf>
    <xf numFmtId="0" fontId="68" fillId="0" borderId="143" xfId="0" applyNumberFormat="1" applyFont="1" applyBorder="1" applyAlignment="1" applyProtection="1">
      <alignment/>
      <protection/>
    </xf>
    <xf numFmtId="3" fontId="68" fillId="0" borderId="117" xfId="28" applyNumberFormat="1" applyFont="1" applyBorder="1" applyAlignment="1">
      <alignment vertical="center" wrapText="1"/>
      <protection/>
    </xf>
    <xf numFmtId="3" fontId="68" fillId="0" borderId="135" xfId="28" applyNumberFormat="1" applyFont="1" applyBorder="1" applyAlignment="1">
      <alignment vertical="center" wrapText="1"/>
      <protection/>
    </xf>
    <xf numFmtId="0" fontId="68" fillId="0" borderId="0" xfId="28" applyFont="1" applyAlignment="1">
      <alignment vertical="center" wrapText="1"/>
      <protection/>
    </xf>
    <xf numFmtId="0" fontId="68" fillId="0" borderId="119" xfId="15" applyNumberFormat="1" applyFont="1" applyFill="1" applyBorder="1" applyAlignment="1" applyProtection="1">
      <alignment/>
      <protection/>
    </xf>
    <xf numFmtId="0" fontId="68" fillId="0" borderId="120" xfId="15" applyNumberFormat="1" applyFont="1" applyFill="1" applyBorder="1" applyAlignment="1" applyProtection="1">
      <alignment/>
      <protection/>
    </xf>
    <xf numFmtId="3" fontId="68" fillId="0" borderId="123" xfId="28" applyNumberFormat="1" applyFont="1" applyBorder="1" applyAlignment="1">
      <alignment vertical="center" wrapText="1"/>
      <protection/>
    </xf>
    <xf numFmtId="3" fontId="68" fillId="0" borderId="58" xfId="28" applyNumberFormat="1" applyFont="1" applyBorder="1" applyAlignment="1">
      <alignment vertical="center" wrapText="1"/>
      <protection/>
    </xf>
    <xf numFmtId="0" fontId="68" fillId="0" borderId="144" xfId="15" applyNumberFormat="1" applyFont="1" applyFill="1" applyBorder="1" applyAlignment="1" applyProtection="1">
      <alignment/>
      <protection/>
    </xf>
    <xf numFmtId="0" fontId="68" fillId="0" borderId="145" xfId="15" applyNumberFormat="1" applyFont="1" applyFill="1" applyBorder="1" applyAlignment="1" applyProtection="1">
      <alignment/>
      <protection/>
    </xf>
    <xf numFmtId="3" fontId="68" fillId="0" borderId="137" xfId="28" applyNumberFormat="1" applyFont="1" applyBorder="1" applyAlignment="1">
      <alignment vertical="center" wrapText="1"/>
      <protection/>
    </xf>
    <xf numFmtId="3" fontId="68" fillId="0" borderId="112" xfId="28" applyNumberFormat="1" applyFont="1" applyBorder="1" applyAlignment="1">
      <alignment vertical="center" wrapText="1"/>
      <protection/>
    </xf>
    <xf numFmtId="0" fontId="68" fillId="0" borderId="146" xfId="0" applyNumberFormat="1" applyFont="1" applyBorder="1" applyAlignment="1" applyProtection="1">
      <alignment/>
      <protection/>
    </xf>
    <xf numFmtId="0" fontId="68" fillId="0" borderId="147" xfId="0" applyNumberFormat="1" applyFont="1" applyBorder="1" applyAlignment="1" applyProtection="1">
      <alignment/>
      <protection/>
    </xf>
    <xf numFmtId="3" fontId="68" fillId="0" borderId="121" xfId="28" applyNumberFormat="1" applyFont="1" applyBorder="1" applyAlignment="1">
      <alignment vertical="center" wrapText="1"/>
      <protection/>
    </xf>
    <xf numFmtId="3" fontId="68" fillId="0" borderId="108" xfId="28" applyNumberFormat="1" applyFont="1" applyBorder="1" applyAlignment="1">
      <alignment vertical="center" wrapText="1"/>
      <protection/>
    </xf>
    <xf numFmtId="0" fontId="48" fillId="0" borderId="146" xfId="28" applyFont="1" applyBorder="1" applyAlignment="1">
      <alignment vertical="center" wrapText="1"/>
      <protection/>
    </xf>
    <xf numFmtId="0" fontId="68" fillId="0" borderId="147" xfId="0" applyFont="1" applyBorder="1" applyAlignment="1">
      <alignment vertical="center"/>
    </xf>
    <xf numFmtId="3" fontId="68" fillId="0" borderId="121" xfId="28" applyNumberFormat="1" applyFont="1" applyFill="1" applyBorder="1" applyAlignment="1">
      <alignment vertical="center" wrapText="1"/>
      <protection/>
    </xf>
    <xf numFmtId="3" fontId="68" fillId="0" borderId="108" xfId="28" applyNumberFormat="1" applyFont="1" applyFill="1" applyBorder="1" applyAlignment="1">
      <alignment vertical="center" wrapText="1"/>
      <protection/>
    </xf>
    <xf numFmtId="0" fontId="48" fillId="0" borderId="144" xfId="28" applyFont="1" applyBorder="1" applyAlignment="1">
      <alignment vertical="center" wrapText="1"/>
      <protection/>
    </xf>
    <xf numFmtId="0" fontId="68" fillId="0" borderId="145" xfId="0" applyFont="1" applyBorder="1" applyAlignment="1">
      <alignment vertical="center"/>
    </xf>
    <xf numFmtId="3" fontId="68" fillId="0" borderId="137" xfId="28" applyNumberFormat="1" applyFont="1" applyFill="1" applyBorder="1" applyAlignment="1">
      <alignment vertical="center" wrapText="1"/>
      <protection/>
    </xf>
    <xf numFmtId="3" fontId="68" fillId="0" borderId="112" xfId="28" applyNumberFormat="1" applyFont="1" applyFill="1" applyBorder="1" applyAlignment="1">
      <alignment vertical="center" wrapText="1"/>
      <protection/>
    </xf>
    <xf numFmtId="0" fontId="48" fillId="0" borderId="119" xfId="28" applyFont="1" applyBorder="1" applyAlignment="1">
      <alignment vertical="center" wrapText="1"/>
      <protection/>
    </xf>
    <xf numFmtId="0" fontId="68" fillId="0" borderId="120" xfId="0" applyFont="1" applyBorder="1" applyAlignment="1">
      <alignment vertical="center"/>
    </xf>
    <xf numFmtId="3" fontId="68" fillId="0" borderId="123" xfId="28" applyNumberFormat="1" applyFont="1" applyFill="1" applyBorder="1" applyAlignment="1">
      <alignment vertical="center" wrapText="1"/>
      <protection/>
    </xf>
    <xf numFmtId="3" fontId="68" fillId="0" borderId="58" xfId="28" applyNumberFormat="1" applyFont="1" applyFill="1" applyBorder="1" applyAlignment="1">
      <alignment vertical="center" wrapText="1"/>
      <protection/>
    </xf>
    <xf numFmtId="0" fontId="68" fillId="0" borderId="146" xfId="28" applyFont="1" applyBorder="1" applyAlignment="1">
      <alignment vertical="center"/>
      <protection/>
    </xf>
    <xf numFmtId="0" fontId="68" fillId="0" borderId="147" xfId="28" applyFont="1" applyBorder="1" applyAlignment="1">
      <alignment vertical="center"/>
      <protection/>
    </xf>
    <xf numFmtId="0" fontId="68" fillId="0" borderId="119" xfId="28" applyFont="1" applyBorder="1" applyAlignment="1">
      <alignment vertical="center"/>
      <protection/>
    </xf>
    <xf numFmtId="0" fontId="68" fillId="0" borderId="144" xfId="28" applyFont="1" applyBorder="1" applyAlignment="1">
      <alignment vertical="center"/>
      <protection/>
    </xf>
    <xf numFmtId="0" fontId="68" fillId="0" borderId="145" xfId="28" applyFont="1" applyBorder="1" applyAlignment="1">
      <alignment vertical="center"/>
      <protection/>
    </xf>
    <xf numFmtId="0" fontId="68" fillId="0" borderId="146" xfId="29" applyNumberFormat="1" applyFont="1" applyBorder="1" applyAlignment="1" applyProtection="1">
      <alignment/>
      <protection hidden="1" locked="0"/>
    </xf>
    <xf numFmtId="0" fontId="68" fillId="0" borderId="147" xfId="29" applyNumberFormat="1" applyFont="1" applyBorder="1" applyAlignment="1" applyProtection="1">
      <alignment/>
      <protection hidden="1" locked="0"/>
    </xf>
    <xf numFmtId="3" fontId="68" fillId="0" borderId="121" xfId="29" applyNumberFormat="1" applyFont="1" applyBorder="1" applyAlignment="1" applyProtection="1">
      <alignment/>
      <protection hidden="1" locked="0"/>
    </xf>
    <xf numFmtId="3" fontId="68" fillId="10" borderId="121" xfId="28" applyNumberFormat="1" applyFont="1" applyFill="1" applyBorder="1" applyAlignment="1">
      <alignment vertical="center" wrapText="1"/>
      <protection/>
    </xf>
    <xf numFmtId="3" fontId="68" fillId="10" borderId="108" xfId="28" applyNumberFormat="1" applyFont="1" applyFill="1" applyBorder="1" applyAlignment="1">
      <alignment vertical="center" wrapText="1"/>
      <protection/>
    </xf>
    <xf numFmtId="3" fontId="68" fillId="10" borderId="122" xfId="28" applyNumberFormat="1" applyFont="1" applyFill="1" applyBorder="1" applyAlignment="1">
      <alignment vertical="center" wrapText="1"/>
      <protection/>
    </xf>
    <xf numFmtId="0" fontId="68" fillId="0" borderId="119" xfId="29" applyNumberFormat="1" applyFont="1" applyBorder="1" applyAlignment="1" applyProtection="1">
      <alignment/>
      <protection hidden="1" locked="0"/>
    </xf>
    <xf numFmtId="0" fontId="68" fillId="0" borderId="120" xfId="29" applyNumberFormat="1" applyFont="1" applyBorder="1" applyAlignment="1" applyProtection="1">
      <alignment/>
      <protection hidden="1" locked="0"/>
    </xf>
    <xf numFmtId="3" fontId="68" fillId="0" borderId="123" xfId="29" applyNumberFormat="1" applyFont="1" applyBorder="1" applyAlignment="1" applyProtection="1">
      <alignment/>
      <protection hidden="1" locked="0"/>
    </xf>
    <xf numFmtId="3" fontId="68" fillId="10" borderId="123" xfId="28" applyNumberFormat="1" applyFont="1" applyFill="1" applyBorder="1" applyAlignment="1">
      <alignment vertical="center" wrapText="1"/>
      <protection/>
    </xf>
    <xf numFmtId="3" fontId="68" fillId="10" borderId="58" xfId="28" applyNumberFormat="1" applyFont="1" applyFill="1" applyBorder="1" applyAlignment="1">
      <alignment vertical="center" wrapText="1"/>
      <protection/>
    </xf>
    <xf numFmtId="3" fontId="68" fillId="10" borderId="124" xfId="28" applyNumberFormat="1" applyFont="1" applyFill="1" applyBorder="1" applyAlignment="1">
      <alignment vertical="center" wrapText="1"/>
      <protection/>
    </xf>
    <xf numFmtId="0" fontId="68" fillId="0" borderId="144" xfId="28" applyFont="1" applyBorder="1" applyAlignment="1">
      <alignment vertical="center" wrapText="1"/>
      <protection/>
    </xf>
    <xf numFmtId="3" fontId="68" fillId="10" borderId="137" xfId="28" applyNumberFormat="1" applyFont="1" applyFill="1" applyBorder="1" applyAlignment="1">
      <alignment vertical="center" wrapText="1"/>
      <protection/>
    </xf>
    <xf numFmtId="3" fontId="68" fillId="10" borderId="112" xfId="28" applyNumberFormat="1" applyFont="1" applyFill="1" applyBorder="1" applyAlignment="1">
      <alignment vertical="center" wrapText="1"/>
      <protection/>
    </xf>
    <xf numFmtId="3" fontId="68" fillId="10" borderId="148" xfId="28" applyNumberFormat="1" applyFont="1" applyFill="1" applyBorder="1" applyAlignment="1">
      <alignment vertical="center" wrapText="1"/>
      <protection/>
    </xf>
    <xf numFmtId="3" fontId="68" fillId="10" borderId="149" xfId="28" applyNumberFormat="1" applyFont="1" applyFill="1" applyBorder="1" applyAlignment="1">
      <alignment vertical="center" wrapText="1"/>
      <protection/>
    </xf>
    <xf numFmtId="3" fontId="68" fillId="10" borderId="150" xfId="28" applyNumberFormat="1" applyFont="1" applyFill="1" applyBorder="1" applyAlignment="1">
      <alignment vertical="center" wrapText="1"/>
      <protection/>
    </xf>
    <xf numFmtId="3" fontId="68" fillId="10" borderId="151" xfId="28" applyNumberFormat="1" applyFont="1" applyFill="1" applyBorder="1" applyAlignment="1">
      <alignment vertical="center" wrapText="1"/>
      <protection/>
    </xf>
    <xf numFmtId="3" fontId="68" fillId="0" borderId="0" xfId="28" applyNumberFormat="1" applyFont="1" applyAlignment="1">
      <alignment vertical="center" wrapText="1"/>
      <protection/>
    </xf>
    <xf numFmtId="3" fontId="68" fillId="8" borderId="149" xfId="28" applyNumberFormat="1" applyFont="1" applyFill="1" applyBorder="1" applyAlignment="1">
      <alignment vertical="center" wrapText="1"/>
      <protection/>
    </xf>
    <xf numFmtId="3" fontId="68" fillId="8" borderId="150" xfId="28" applyNumberFormat="1" applyFont="1" applyFill="1" applyBorder="1" applyAlignment="1">
      <alignment vertical="center" wrapText="1"/>
      <protection/>
    </xf>
    <xf numFmtId="3" fontId="68" fillId="8" borderId="151" xfId="28" applyNumberFormat="1" applyFont="1" applyFill="1" applyBorder="1" applyAlignment="1">
      <alignment vertical="center" wrapText="1"/>
      <protection/>
    </xf>
    <xf numFmtId="3" fontId="68" fillId="8" borderId="118" xfId="28" applyNumberFormat="1" applyFont="1" applyFill="1" applyBorder="1" applyAlignment="1">
      <alignment vertical="center" wrapText="1"/>
      <protection/>
    </xf>
    <xf numFmtId="3" fontId="68" fillId="8" borderId="124" xfId="28" applyNumberFormat="1" applyFont="1" applyFill="1" applyBorder="1" applyAlignment="1">
      <alignment vertical="center" wrapText="1"/>
      <protection/>
    </xf>
    <xf numFmtId="3" fontId="68" fillId="8" borderId="148" xfId="28" applyNumberFormat="1" applyFont="1" applyFill="1" applyBorder="1" applyAlignment="1">
      <alignment vertical="center" wrapText="1"/>
      <protection/>
    </xf>
    <xf numFmtId="3" fontId="68" fillId="8" borderId="122" xfId="28" applyNumberFormat="1" applyFont="1" applyFill="1" applyBorder="1" applyAlignment="1">
      <alignment vertical="center" wrapText="1"/>
      <protection/>
    </xf>
    <xf numFmtId="3" fontId="68" fillId="8" borderId="110" xfId="28" applyNumberFormat="1" applyFont="1" applyFill="1" applyBorder="1" applyAlignment="1">
      <alignment vertical="center" wrapText="1"/>
      <protection/>
    </xf>
    <xf numFmtId="3" fontId="68" fillId="8" borderId="71" xfId="28" applyNumberFormat="1" applyFont="1" applyFill="1" applyBorder="1" applyAlignment="1">
      <alignment vertical="center" wrapText="1"/>
      <protection/>
    </xf>
    <xf numFmtId="3" fontId="68" fillId="8" borderId="20" xfId="28" applyNumberFormat="1" applyFont="1" applyFill="1" applyBorder="1" applyAlignment="1">
      <alignment vertical="center" wrapText="1"/>
      <protection/>
    </xf>
    <xf numFmtId="3" fontId="68" fillId="8" borderId="152" xfId="28" applyNumberFormat="1" applyFont="1" applyFill="1" applyBorder="1" applyAlignment="1">
      <alignment vertical="center" wrapText="1"/>
      <protection/>
    </xf>
    <xf numFmtId="2" fontId="69" fillId="0" borderId="0" xfId="0" applyNumberFormat="1" applyFont="1" applyAlignment="1">
      <alignment horizontal="centerContinuous" vertical="center" wrapText="1"/>
    </xf>
    <xf numFmtId="0" fontId="42" fillId="0" borderId="0" xfId="26" applyFont="1" applyAlignment="1">
      <alignment horizontal="centerContinuous"/>
      <protection/>
    </xf>
    <xf numFmtId="0" fontId="55" fillId="0" borderId="0" xfId="26" applyFont="1" applyAlignment="1">
      <alignment horizontal="centerContinuous"/>
      <protection/>
    </xf>
    <xf numFmtId="0" fontId="55" fillId="0" borderId="0" xfId="26" applyFont="1">
      <alignment/>
      <protection/>
    </xf>
    <xf numFmtId="0" fontId="47" fillId="0" borderId="0" xfId="25" applyNumberFormat="1" applyFont="1" applyAlignment="1">
      <alignment horizontal="centerContinuous"/>
      <protection/>
    </xf>
    <xf numFmtId="0" fontId="29" fillId="0" borderId="153" xfId="26" applyFont="1" applyBorder="1" applyAlignment="1">
      <alignment vertical="center"/>
      <protection/>
    </xf>
    <xf numFmtId="0" fontId="68" fillId="0" borderId="153" xfId="26" applyFont="1" applyBorder="1" applyAlignment="1">
      <alignment horizontal="right" vertical="center"/>
      <protection/>
    </xf>
    <xf numFmtId="0" fontId="49" fillId="0" borderId="8" xfId="0" applyFont="1" applyBorder="1" applyAlignment="1">
      <alignment vertical="top" wrapText="1"/>
    </xf>
    <xf numFmtId="0" fontId="0" fillId="11" borderId="0" xfId="0" applyFill="1" applyAlignment="1">
      <alignment horizontal="right"/>
    </xf>
    <xf numFmtId="0" fontId="0" fillId="12" borderId="0" xfId="0" applyFill="1" applyAlignment="1">
      <alignment/>
    </xf>
    <xf numFmtId="0" fontId="0" fillId="0" borderId="0" xfId="0" applyFill="1" applyAlignment="1">
      <alignment horizontal="right"/>
    </xf>
    <xf numFmtId="0" fontId="0" fillId="0" borderId="0" xfId="0" applyFill="1" applyAlignment="1">
      <alignment wrapText="1"/>
    </xf>
    <xf numFmtId="3" fontId="0" fillId="0" borderId="0" xfId="24" applyNumberFormat="1">
      <alignment/>
      <protection/>
    </xf>
    <xf numFmtId="0" fontId="0" fillId="0" borderId="0" xfId="24" applyFont="1">
      <alignment/>
      <protection/>
    </xf>
    <xf numFmtId="0" fontId="28" fillId="8" borderId="58" xfId="26" applyFont="1" applyFill="1" applyBorder="1" applyAlignment="1">
      <alignment horizontal="center" vertical="center" wrapText="1"/>
      <protection/>
    </xf>
    <xf numFmtId="0" fontId="28" fillId="8" borderId="58" xfId="26" applyFont="1" applyFill="1" applyBorder="1" applyAlignment="1">
      <alignment horizontal="center" vertical="center"/>
      <protection/>
    </xf>
    <xf numFmtId="0" fontId="70" fillId="0" borderId="0" xfId="0" applyFont="1" applyAlignment="1">
      <alignment horizontal="centerContinuous"/>
    </xf>
    <xf numFmtId="0" fontId="28" fillId="6" borderId="0" xfId="28" applyFont="1" applyFill="1" applyAlignment="1">
      <alignment vertical="center" wrapText="1"/>
      <protection/>
    </xf>
    <xf numFmtId="0" fontId="29" fillId="6" borderId="0" xfId="28" applyFont="1" applyFill="1" applyAlignment="1">
      <alignment vertical="center" wrapText="1"/>
      <protection/>
    </xf>
    <xf numFmtId="0" fontId="48" fillId="6" borderId="76" xfId="28" applyFont="1" applyFill="1" applyBorder="1" applyAlignment="1">
      <alignment horizontal="center" vertical="center" wrapText="1"/>
      <protection/>
    </xf>
    <xf numFmtId="0" fontId="48" fillId="6" borderId="78" xfId="28" applyFont="1" applyFill="1" applyBorder="1" applyAlignment="1">
      <alignment horizontal="center" vertical="center" wrapText="1"/>
      <protection/>
    </xf>
    <xf numFmtId="3" fontId="68" fillId="6" borderId="9" xfId="28" applyNumberFormat="1" applyFont="1" applyFill="1" applyBorder="1" applyAlignment="1" applyProtection="1">
      <alignment horizontal="right" vertical="center" wrapText="1"/>
      <protection locked="0"/>
    </xf>
    <xf numFmtId="3" fontId="68" fillId="6" borderId="3" xfId="28" applyNumberFormat="1" applyFont="1" applyFill="1" applyBorder="1" applyAlignment="1" applyProtection="1">
      <alignment horizontal="right" vertical="center" wrapText="1"/>
      <protection locked="0"/>
    </xf>
    <xf numFmtId="3" fontId="68" fillId="8" borderId="11" xfId="28" applyNumberFormat="1" applyFont="1" applyFill="1" applyBorder="1" applyAlignment="1">
      <alignment horizontal="right" vertical="center" wrapText="1"/>
      <protection/>
    </xf>
    <xf numFmtId="3" fontId="68" fillId="6" borderId="10" xfId="28" applyNumberFormat="1" applyFont="1" applyFill="1" applyBorder="1" applyAlignment="1" applyProtection="1">
      <alignment horizontal="right" vertical="center" wrapText="1"/>
      <protection locked="0"/>
    </xf>
    <xf numFmtId="3" fontId="68" fillId="6" borderId="11" xfId="28" applyNumberFormat="1" applyFont="1" applyFill="1" applyBorder="1" applyAlignment="1" applyProtection="1">
      <alignment horizontal="right" vertical="center" wrapText="1"/>
      <protection locked="0"/>
    </xf>
    <xf numFmtId="3" fontId="68" fillId="8" borderId="3" xfId="28" applyNumberFormat="1" applyFont="1" applyFill="1" applyBorder="1" applyAlignment="1">
      <alignment horizontal="right" vertical="center" wrapText="1"/>
      <protection/>
    </xf>
    <xf numFmtId="0" fontId="68" fillId="6" borderId="110" xfId="28" applyFont="1" applyFill="1" applyBorder="1" applyAlignment="1" applyProtection="1">
      <alignment horizontal="right" vertical="center"/>
      <protection locked="0"/>
    </xf>
    <xf numFmtId="0" fontId="68" fillId="6" borderId="12" xfId="28" applyFont="1" applyFill="1" applyBorder="1" applyAlignment="1" applyProtection="1">
      <alignment horizontal="left" vertical="center"/>
      <protection locked="0"/>
    </xf>
    <xf numFmtId="3" fontId="68" fillId="6" borderId="110" xfId="28" applyNumberFormat="1" applyFont="1" applyFill="1" applyBorder="1" applyAlignment="1" applyProtection="1">
      <alignment horizontal="right" vertical="center" wrapText="1"/>
      <protection locked="0"/>
    </xf>
    <xf numFmtId="3" fontId="68" fillId="6" borderId="12" xfId="28" applyNumberFormat="1" applyFont="1" applyFill="1" applyBorder="1" applyAlignment="1" applyProtection="1">
      <alignment horizontal="right" vertical="center" wrapText="1"/>
      <protection locked="0"/>
    </xf>
    <xf numFmtId="3" fontId="68" fillId="8" borderId="109" xfId="28" applyNumberFormat="1" applyFont="1" applyFill="1" applyBorder="1" applyAlignment="1">
      <alignment horizontal="right" vertical="center" wrapText="1"/>
      <protection/>
    </xf>
    <xf numFmtId="3" fontId="68" fillId="6" borderId="108" xfId="28" applyNumberFormat="1" applyFont="1" applyFill="1" applyBorder="1" applyAlignment="1" applyProtection="1">
      <alignment horizontal="right" vertical="center" wrapText="1"/>
      <protection locked="0"/>
    </xf>
    <xf numFmtId="3" fontId="68" fillId="6" borderId="109" xfId="28" applyNumberFormat="1" applyFont="1" applyFill="1" applyBorder="1" applyAlignment="1" applyProtection="1">
      <alignment horizontal="right" vertical="center" wrapText="1"/>
      <protection locked="0"/>
    </xf>
    <xf numFmtId="3" fontId="68" fillId="6" borderId="154" xfId="28" applyNumberFormat="1" applyFont="1" applyFill="1" applyBorder="1" applyAlignment="1" applyProtection="1">
      <alignment horizontal="right" vertical="center" wrapText="1"/>
      <protection locked="0"/>
    </xf>
    <xf numFmtId="3" fontId="48" fillId="8" borderId="9" xfId="28" applyNumberFormat="1" applyFont="1" applyFill="1" applyBorder="1" applyAlignment="1">
      <alignment horizontal="right" vertical="center" wrapText="1"/>
      <protection/>
    </xf>
    <xf numFmtId="3" fontId="48" fillId="8" borderId="3" xfId="28" applyNumberFormat="1" applyFont="1" applyFill="1" applyBorder="1" applyAlignment="1">
      <alignment horizontal="right" vertical="center" wrapText="1"/>
      <protection/>
    </xf>
    <xf numFmtId="3" fontId="48" fillId="8" borderId="11" xfId="28" applyNumberFormat="1" applyFont="1" applyFill="1" applyBorder="1" applyAlignment="1">
      <alignment horizontal="right" vertical="center" wrapText="1"/>
      <protection/>
    </xf>
    <xf numFmtId="3" fontId="48" fillId="8" borderId="10" xfId="28" applyNumberFormat="1" applyFont="1" applyFill="1" applyBorder="1" applyAlignment="1">
      <alignment horizontal="right" vertical="center" wrapText="1"/>
      <protection/>
    </xf>
    <xf numFmtId="3" fontId="48" fillId="8" borderId="132" xfId="28" applyNumberFormat="1" applyFont="1" applyFill="1" applyBorder="1" applyAlignment="1">
      <alignment horizontal="right" vertical="center" wrapText="1"/>
      <protection/>
    </xf>
    <xf numFmtId="0" fontId="68" fillId="6" borderId="71" xfId="28" applyFont="1" applyFill="1" applyBorder="1" applyAlignment="1" applyProtection="1">
      <alignment horizontal="right" vertical="center"/>
      <protection locked="0"/>
    </xf>
    <xf numFmtId="0" fontId="68" fillId="6" borderId="23" xfId="28" applyFont="1" applyFill="1" applyBorder="1" applyAlignment="1" applyProtection="1">
      <alignment horizontal="left" vertical="center"/>
      <protection locked="0"/>
    </xf>
    <xf numFmtId="3" fontId="68" fillId="6" borderId="71" xfId="28" applyNumberFormat="1" applyFont="1" applyFill="1" applyBorder="1" applyAlignment="1" applyProtection="1">
      <alignment horizontal="right" vertical="center" wrapText="1"/>
      <protection locked="0"/>
    </xf>
    <xf numFmtId="3" fontId="68" fillId="6" borderId="23" xfId="28" applyNumberFormat="1" applyFont="1" applyFill="1" applyBorder="1" applyAlignment="1" applyProtection="1">
      <alignment horizontal="right" vertical="center" wrapText="1"/>
      <protection locked="0"/>
    </xf>
    <xf numFmtId="3" fontId="68" fillId="6" borderId="58" xfId="28" applyNumberFormat="1" applyFont="1" applyFill="1" applyBorder="1" applyAlignment="1" applyProtection="1">
      <alignment horizontal="right" vertical="center" wrapText="1"/>
      <protection locked="0"/>
    </xf>
    <xf numFmtId="3" fontId="68" fillId="6" borderId="59" xfId="28" applyNumberFormat="1" applyFont="1" applyFill="1" applyBorder="1" applyAlignment="1" applyProtection="1">
      <alignment horizontal="right" vertical="center" wrapText="1"/>
      <protection locked="0"/>
    </xf>
    <xf numFmtId="3" fontId="68" fillId="6" borderId="85" xfId="28" applyNumberFormat="1" applyFont="1" applyFill="1" applyBorder="1" applyAlignment="1" applyProtection="1">
      <alignment horizontal="right" vertical="center" wrapText="1"/>
      <protection locked="0"/>
    </xf>
    <xf numFmtId="0" fontId="68" fillId="6" borderId="76" xfId="28" applyFont="1" applyFill="1" applyBorder="1" applyAlignment="1" applyProtection="1">
      <alignment horizontal="right" vertical="center"/>
      <protection locked="0"/>
    </xf>
    <xf numFmtId="0" fontId="68" fillId="6" borderId="90" xfId="28" applyFont="1" applyFill="1" applyBorder="1" applyAlignment="1" applyProtection="1">
      <alignment horizontal="left" vertical="center"/>
      <protection locked="0"/>
    </xf>
    <xf numFmtId="3" fontId="68" fillId="6" borderId="76" xfId="28" applyNumberFormat="1" applyFont="1" applyFill="1" applyBorder="1" applyAlignment="1" applyProtection="1">
      <alignment horizontal="right" vertical="center" wrapText="1"/>
      <protection locked="0"/>
    </xf>
    <xf numFmtId="3" fontId="68" fillId="6" borderId="90" xfId="28" applyNumberFormat="1" applyFont="1" applyFill="1" applyBorder="1" applyAlignment="1" applyProtection="1">
      <alignment horizontal="right" vertical="center" wrapText="1"/>
      <protection locked="0"/>
    </xf>
    <xf numFmtId="3" fontId="68" fillId="8" borderId="78" xfId="28" applyNumberFormat="1" applyFont="1" applyFill="1" applyBorder="1" applyAlignment="1">
      <alignment horizontal="right" vertical="center" wrapText="1"/>
      <protection/>
    </xf>
    <xf numFmtId="3" fontId="68" fillId="6" borderId="77" xfId="28" applyNumberFormat="1" applyFont="1" applyFill="1" applyBorder="1" applyAlignment="1" applyProtection="1">
      <alignment horizontal="right" vertical="center" wrapText="1"/>
      <protection locked="0"/>
    </xf>
    <xf numFmtId="3" fontId="68" fillId="6" borderId="78" xfId="28" applyNumberFormat="1" applyFont="1" applyFill="1" applyBorder="1" applyAlignment="1" applyProtection="1">
      <alignment horizontal="right" vertical="center" wrapText="1"/>
      <protection locked="0"/>
    </xf>
    <xf numFmtId="3" fontId="68" fillId="6" borderId="91" xfId="28" applyNumberFormat="1" applyFont="1" applyFill="1" applyBorder="1" applyAlignment="1" applyProtection="1">
      <alignment horizontal="right" vertical="center" wrapText="1"/>
      <protection locked="0"/>
    </xf>
    <xf numFmtId="3" fontId="68" fillId="8" borderId="90" xfId="28" applyNumberFormat="1" applyFont="1" applyFill="1" applyBorder="1" applyAlignment="1">
      <alignment horizontal="right" vertical="center" wrapText="1"/>
      <protection/>
    </xf>
    <xf numFmtId="0" fontId="68" fillId="6" borderId="30" xfId="28" applyFont="1" applyFill="1" applyBorder="1" applyAlignment="1">
      <alignment horizontal="right" vertical="center" wrapText="1"/>
      <protection/>
    </xf>
    <xf numFmtId="0" fontId="68" fillId="6" borderId="28" xfId="28" applyFont="1" applyFill="1" applyBorder="1" applyAlignment="1">
      <alignment horizontal="right" vertical="center" wrapText="1"/>
      <protection/>
    </xf>
    <xf numFmtId="3" fontId="68" fillId="8" borderId="59" xfId="28" applyNumberFormat="1" applyFont="1" applyFill="1" applyBorder="1" applyAlignment="1">
      <alignment horizontal="right" vertical="center" wrapText="1"/>
      <protection/>
    </xf>
    <xf numFmtId="0" fontId="68" fillId="6" borderId="155" xfId="28" applyFont="1" applyFill="1" applyBorder="1" applyAlignment="1">
      <alignment horizontal="right" vertical="center" wrapText="1"/>
      <protection/>
    </xf>
    <xf numFmtId="3" fontId="68" fillId="8" borderId="115" xfId="28" applyNumberFormat="1" applyFont="1" applyFill="1" applyBorder="1" applyAlignment="1">
      <alignment horizontal="right" vertical="center" wrapText="1"/>
      <protection/>
    </xf>
    <xf numFmtId="0" fontId="68" fillId="6" borderId="156" xfId="28" applyFont="1" applyFill="1" applyBorder="1" applyAlignment="1">
      <alignment vertical="center" wrapText="1"/>
      <protection/>
    </xf>
    <xf numFmtId="0" fontId="68" fillId="6" borderId="28" xfId="28" applyFont="1" applyFill="1" applyBorder="1" applyAlignment="1">
      <alignment vertical="center" wrapText="1"/>
      <protection/>
    </xf>
    <xf numFmtId="0" fontId="68" fillId="6" borderId="155" xfId="28" applyFont="1" applyFill="1" applyBorder="1" applyAlignment="1">
      <alignment vertical="center" wrapText="1"/>
      <protection/>
    </xf>
    <xf numFmtId="0" fontId="68" fillId="6" borderId="156" xfId="28" applyFont="1" applyFill="1" applyBorder="1" applyAlignment="1">
      <alignment horizontal="right" vertical="center" wrapText="1"/>
      <protection/>
    </xf>
    <xf numFmtId="0" fontId="48" fillId="6" borderId="130" xfId="28" applyFont="1" applyFill="1" applyBorder="1" applyAlignment="1">
      <alignment horizontal="left" vertical="center" wrapText="1"/>
      <protection/>
    </xf>
    <xf numFmtId="0" fontId="68" fillId="6" borderId="130" xfId="28" applyFont="1" applyFill="1" applyBorder="1" applyAlignment="1">
      <alignment horizontal="right" vertical="center" wrapText="1"/>
      <protection/>
    </xf>
    <xf numFmtId="3" fontId="68" fillId="8" borderId="132" xfId="28" applyNumberFormat="1" applyFont="1" applyFill="1" applyBorder="1" applyAlignment="1">
      <alignment horizontal="right" vertical="center" wrapText="1"/>
      <protection/>
    </xf>
    <xf numFmtId="3" fontId="68" fillId="8" borderId="10" xfId="28" applyNumberFormat="1" applyFont="1" applyFill="1" applyBorder="1" applyAlignment="1">
      <alignment horizontal="right" vertical="center" wrapText="1"/>
      <protection/>
    </xf>
    <xf numFmtId="3" fontId="68" fillId="8" borderId="33" xfId="28" applyNumberFormat="1" applyFont="1" applyFill="1" applyBorder="1" applyAlignment="1">
      <alignment horizontal="right" vertical="center" wrapText="1"/>
      <protection/>
    </xf>
    <xf numFmtId="3" fontId="68" fillId="8" borderId="9" xfId="28" applyNumberFormat="1" applyFont="1" applyFill="1" applyBorder="1" applyAlignment="1">
      <alignment horizontal="right" vertical="center" wrapText="1"/>
      <protection/>
    </xf>
    <xf numFmtId="0" fontId="68" fillId="6" borderId="84" xfId="28" applyFont="1" applyFill="1" applyBorder="1" applyAlignment="1">
      <alignment horizontal="left" vertical="center" wrapText="1"/>
      <protection/>
    </xf>
    <xf numFmtId="0" fontId="68" fillId="6" borderId="82" xfId="28" applyFont="1" applyFill="1" applyBorder="1" applyAlignment="1">
      <alignment horizontal="left" vertical="center" wrapText="1"/>
      <protection/>
    </xf>
    <xf numFmtId="0" fontId="68" fillId="6" borderId="157" xfId="28" applyFont="1" applyFill="1" applyBorder="1" applyAlignment="1">
      <alignment horizontal="left" vertical="center" wrapText="1"/>
      <protection/>
    </xf>
    <xf numFmtId="0" fontId="68" fillId="6" borderId="131" xfId="28" applyFont="1" applyFill="1" applyBorder="1" applyAlignment="1">
      <alignment vertical="center" wrapText="1"/>
      <protection/>
    </xf>
    <xf numFmtId="0" fontId="68" fillId="6" borderId="82" xfId="28" applyFont="1" applyFill="1" applyBorder="1" applyAlignment="1">
      <alignment vertical="center" wrapText="1"/>
      <protection/>
    </xf>
    <xf numFmtId="0" fontId="68" fillId="6" borderId="157" xfId="28" applyFont="1" applyFill="1" applyBorder="1" applyAlignment="1">
      <alignment vertical="center" wrapText="1"/>
      <protection/>
    </xf>
    <xf numFmtId="0" fontId="68" fillId="6" borderId="131" xfId="28" applyFont="1" applyFill="1" applyBorder="1" applyAlignment="1">
      <alignment horizontal="left" vertical="center" wrapText="1"/>
      <protection/>
    </xf>
    <xf numFmtId="3" fontId="68" fillId="6" borderId="110" xfId="28" applyNumberFormat="1" applyFont="1" applyFill="1" applyBorder="1" applyAlignment="1">
      <alignment horizontal="right" vertical="center" wrapText="1"/>
      <protection/>
    </xf>
    <xf numFmtId="3" fontId="68" fillId="6" borderId="71" xfId="28" applyNumberFormat="1" applyFont="1" applyFill="1" applyBorder="1" applyAlignment="1">
      <alignment horizontal="right" vertical="center" wrapText="1"/>
      <protection/>
    </xf>
    <xf numFmtId="3" fontId="68" fillId="6" borderId="20" xfId="28" applyNumberFormat="1" applyFont="1" applyFill="1" applyBorder="1" applyAlignment="1">
      <alignment horizontal="right" vertical="center" wrapText="1"/>
      <protection/>
    </xf>
    <xf numFmtId="3" fontId="68" fillId="6" borderId="109" xfId="28" applyNumberFormat="1" applyFont="1" applyFill="1" applyBorder="1" applyAlignment="1">
      <alignment horizontal="right" vertical="center" wrapText="1"/>
      <protection/>
    </xf>
    <xf numFmtId="3" fontId="68" fillId="6" borderId="59" xfId="28" applyNumberFormat="1" applyFont="1" applyFill="1" applyBorder="1" applyAlignment="1">
      <alignment horizontal="right" vertical="center" wrapText="1"/>
      <protection/>
    </xf>
    <xf numFmtId="3" fontId="68" fillId="6" borderId="115" xfId="28" applyNumberFormat="1" applyFont="1" applyFill="1" applyBorder="1" applyAlignment="1">
      <alignment horizontal="right" vertical="center" wrapText="1"/>
      <protection/>
    </xf>
    <xf numFmtId="3" fontId="68" fillId="8" borderId="65" xfId="28" applyNumberFormat="1" applyFont="1" applyFill="1" applyBorder="1" applyAlignment="1">
      <alignment horizontal="right" vertical="center" wrapText="1"/>
      <protection/>
    </xf>
    <xf numFmtId="3" fontId="68" fillId="8" borderId="158" xfId="28" applyNumberFormat="1" applyFont="1" applyFill="1" applyBorder="1" applyAlignment="1">
      <alignment horizontal="right" vertical="center" wrapText="1"/>
      <protection/>
    </xf>
    <xf numFmtId="3" fontId="68" fillId="8" borderId="48" xfId="28" applyNumberFormat="1" applyFont="1" applyFill="1" applyBorder="1" applyAlignment="1">
      <alignment horizontal="right" vertical="center" wrapText="1"/>
      <protection/>
    </xf>
    <xf numFmtId="3" fontId="68" fillId="8" borderId="18" xfId="28" applyNumberFormat="1" applyFont="1" applyFill="1" applyBorder="1" applyAlignment="1">
      <alignment horizontal="right" vertical="center" wrapText="1"/>
      <protection/>
    </xf>
    <xf numFmtId="3" fontId="68" fillId="8" borderId="8" xfId="28" applyNumberFormat="1" applyFont="1" applyFill="1" applyBorder="1" applyAlignment="1">
      <alignment horizontal="right" vertical="center" wrapText="1"/>
      <protection/>
    </xf>
    <xf numFmtId="0" fontId="68" fillId="6" borderId="30" xfId="28" applyFont="1" applyFill="1" applyBorder="1" applyAlignment="1">
      <alignment vertical="center" wrapText="1"/>
      <protection/>
    </xf>
    <xf numFmtId="0" fontId="68" fillId="6" borderId="84" xfId="28" applyFont="1" applyFill="1" applyBorder="1" applyAlignment="1">
      <alignment vertical="center" wrapText="1"/>
      <protection/>
    </xf>
    <xf numFmtId="3" fontId="68" fillId="6" borderId="66" xfId="28" applyNumberFormat="1" applyFont="1" applyFill="1" applyBorder="1" applyAlignment="1">
      <alignment horizontal="right" vertical="center" wrapText="1"/>
      <protection/>
    </xf>
    <xf numFmtId="3" fontId="68" fillId="6" borderId="87" xfId="28" applyNumberFormat="1" applyFont="1" applyFill="1" applyBorder="1" applyAlignment="1">
      <alignment horizontal="right" vertical="center" wrapText="1"/>
      <protection/>
    </xf>
    <xf numFmtId="3" fontId="68" fillId="8" borderId="68" xfId="28" applyNumberFormat="1" applyFont="1" applyFill="1" applyBorder="1" applyAlignment="1">
      <alignment horizontal="right" vertical="center" wrapText="1"/>
      <protection/>
    </xf>
    <xf numFmtId="3" fontId="68" fillId="6" borderId="67" xfId="28" applyNumberFormat="1" applyFont="1" applyFill="1" applyBorder="1" applyAlignment="1">
      <alignment horizontal="right" vertical="center" wrapText="1"/>
      <protection/>
    </xf>
    <xf numFmtId="3" fontId="68" fillId="6" borderId="68" xfId="28" applyNumberFormat="1" applyFont="1" applyFill="1" applyBorder="1" applyAlignment="1">
      <alignment horizontal="right" vertical="center" wrapText="1"/>
      <protection/>
    </xf>
    <xf numFmtId="3" fontId="68" fillId="8" borderId="87" xfId="28" applyNumberFormat="1" applyFont="1" applyFill="1" applyBorder="1" applyAlignment="1">
      <alignment horizontal="right" vertical="center" wrapText="1"/>
      <protection/>
    </xf>
    <xf numFmtId="0" fontId="68" fillId="6" borderId="29" xfId="28" applyFont="1" applyFill="1" applyBorder="1" applyAlignment="1">
      <alignment vertical="center" wrapText="1"/>
      <protection/>
    </xf>
    <xf numFmtId="0" fontId="68" fillId="6" borderId="93" xfId="28" applyFont="1" applyFill="1" applyBorder="1" applyAlignment="1">
      <alignment vertical="center" wrapText="1"/>
      <protection/>
    </xf>
    <xf numFmtId="3" fontId="68" fillId="6" borderId="76" xfId="28" applyNumberFormat="1" applyFont="1" applyFill="1" applyBorder="1" applyAlignment="1">
      <alignment horizontal="right" vertical="center" wrapText="1"/>
      <protection/>
    </xf>
    <xf numFmtId="3" fontId="68" fillId="6" borderId="90" xfId="28" applyNumberFormat="1" applyFont="1" applyFill="1" applyBorder="1" applyAlignment="1">
      <alignment horizontal="right" vertical="center" wrapText="1"/>
      <protection/>
    </xf>
    <xf numFmtId="3" fontId="68" fillId="6" borderId="77" xfId="28" applyNumberFormat="1" applyFont="1" applyFill="1" applyBorder="1" applyAlignment="1">
      <alignment horizontal="right" vertical="center" wrapText="1"/>
      <protection/>
    </xf>
    <xf numFmtId="3" fontId="68" fillId="6" borderId="78" xfId="28" applyNumberFormat="1" applyFont="1" applyFill="1" applyBorder="1" applyAlignment="1">
      <alignment horizontal="right" vertical="center" wrapText="1"/>
      <protection/>
    </xf>
    <xf numFmtId="0" fontId="55" fillId="0" borderId="0" xfId="26" applyFont="1" applyAlignment="1">
      <alignment horizontal="left"/>
      <protection/>
    </xf>
    <xf numFmtId="3" fontId="29" fillId="8" borderId="58" xfId="26" applyNumberFormat="1" applyFont="1" applyFill="1" applyBorder="1" applyAlignment="1">
      <alignment vertical="center" wrapText="1"/>
      <protection/>
    </xf>
    <xf numFmtId="3" fontId="29" fillId="0" borderId="58" xfId="26" applyNumberFormat="1" applyFont="1" applyFill="1" applyBorder="1" applyAlignment="1">
      <alignment vertical="center" wrapText="1"/>
      <protection/>
    </xf>
    <xf numFmtId="0" fontId="57" fillId="0" borderId="0" xfId="26" applyFont="1" applyAlignment="1">
      <alignment horizontal="centerContinuous" vertical="center"/>
      <protection/>
    </xf>
    <xf numFmtId="0" fontId="57" fillId="0" borderId="0" xfId="0" applyNumberFormat="1" applyFont="1" applyBorder="1" applyAlignment="1">
      <alignment horizontal="centerContinuous" vertical="center"/>
    </xf>
    <xf numFmtId="0" fontId="46" fillId="0" borderId="0" xfId="26" applyFont="1" applyAlignment="1">
      <alignment horizontal="left"/>
      <protection/>
    </xf>
    <xf numFmtId="0" fontId="64" fillId="0" borderId="0" xfId="0" applyFont="1" applyAlignment="1">
      <alignment horizontal="centerContinuous" vertical="center"/>
    </xf>
    <xf numFmtId="0" fontId="1" fillId="8" borderId="9" xfId="0" applyFont="1" applyFill="1" applyBorder="1" applyAlignment="1" applyProtection="1">
      <alignment horizontal="center" vertical="center" wrapText="1"/>
      <protection/>
    </xf>
    <xf numFmtId="1" fontId="0" fillId="8" borderId="9" xfId="0" applyNumberFormat="1" applyFont="1" applyFill="1" applyBorder="1" applyAlignment="1" applyProtection="1">
      <alignment horizontal="centerContinuous" vertical="center" wrapText="1"/>
      <protection/>
    </xf>
    <xf numFmtId="1" fontId="0" fillId="8" borderId="11" xfId="0" applyNumberFormat="1" applyFont="1" applyFill="1" applyBorder="1" applyAlignment="1" applyProtection="1">
      <alignment horizontal="centerContinuous" vertical="center" wrapText="1"/>
      <protection/>
    </xf>
    <xf numFmtId="49" fontId="31" fillId="8" borderId="19" xfId="0" applyNumberFormat="1" applyFont="1" applyFill="1" applyBorder="1" applyAlignment="1" applyProtection="1">
      <alignment horizontal="center" vertical="center"/>
      <protection/>
    </xf>
    <xf numFmtId="0" fontId="31" fillId="8" borderId="159" xfId="0" applyFont="1" applyFill="1" applyBorder="1" applyAlignment="1" applyProtection="1">
      <alignment horizontal="left" vertical="center"/>
      <protection/>
    </xf>
    <xf numFmtId="0" fontId="31" fillId="8" borderId="160" xfId="0" applyFont="1" applyFill="1" applyBorder="1" applyAlignment="1" applyProtection="1">
      <alignment vertical="center" wrapText="1"/>
      <protection/>
    </xf>
    <xf numFmtId="165" fontId="14" fillId="8" borderId="19" xfId="0" applyNumberFormat="1" applyFont="1" applyFill="1" applyBorder="1" applyAlignment="1" applyProtection="1">
      <alignment horizontal="right" vertical="center"/>
      <protection/>
    </xf>
    <xf numFmtId="165" fontId="14" fillId="8" borderId="161" xfId="0" applyNumberFormat="1" applyFont="1" applyFill="1" applyBorder="1" applyAlignment="1" applyProtection="1">
      <alignment horizontal="right" vertical="center"/>
      <protection/>
    </xf>
    <xf numFmtId="49" fontId="31" fillId="8" borderId="110" xfId="0" applyNumberFormat="1" applyFont="1" applyFill="1" applyBorder="1" applyAlignment="1" applyProtection="1">
      <alignment horizontal="center" vertical="center"/>
      <protection/>
    </xf>
    <xf numFmtId="0" fontId="15" fillId="8" borderId="111" xfId="0" applyFont="1" applyFill="1" applyBorder="1" applyAlignment="1" applyProtection="1">
      <alignment horizontal="left" vertical="center"/>
      <protection/>
    </xf>
    <xf numFmtId="0" fontId="31" fillId="8" borderId="131" xfId="0" applyFont="1" applyFill="1" applyBorder="1" applyAlignment="1" applyProtection="1">
      <alignment vertical="center" wrapText="1"/>
      <protection/>
    </xf>
    <xf numFmtId="3" fontId="15" fillId="8" borderId="110" xfId="0" applyNumberFormat="1" applyFont="1" applyFill="1" applyBorder="1" applyAlignment="1" applyProtection="1">
      <alignment horizontal="right" vertical="center"/>
      <protection/>
    </xf>
    <xf numFmtId="3" fontId="15" fillId="8" borderId="109" xfId="0" applyNumberFormat="1" applyFont="1" applyFill="1" applyBorder="1" applyAlignment="1" applyProtection="1">
      <alignment horizontal="right" vertical="center"/>
      <protection/>
    </xf>
    <xf numFmtId="49" fontId="18" fillId="8" borderId="9" xfId="0" applyNumberFormat="1" applyFont="1" applyFill="1" applyBorder="1" applyAlignment="1" applyProtection="1">
      <alignment horizontal="right" vertical="center"/>
      <protection/>
    </xf>
    <xf numFmtId="0" fontId="18" fillId="8" borderId="33" xfId="0" applyFont="1" applyFill="1" applyBorder="1" applyAlignment="1" applyProtection="1">
      <alignment horizontal="left" vertical="center"/>
      <protection/>
    </xf>
    <xf numFmtId="0" fontId="0" fillId="8" borderId="162" xfId="0" applyFill="1" applyBorder="1" applyAlignment="1" applyProtection="1">
      <alignment vertical="center"/>
      <protection/>
    </xf>
    <xf numFmtId="3" fontId="15" fillId="8" borderId="9" xfId="0" applyNumberFormat="1" applyFont="1" applyFill="1" applyBorder="1" applyAlignment="1" applyProtection="1">
      <alignment horizontal="right" vertical="center"/>
      <protection/>
    </xf>
    <xf numFmtId="0" fontId="28" fillId="8" borderId="67" xfId="26" applyFont="1" applyFill="1" applyBorder="1" applyAlignment="1">
      <alignment horizontal="center" vertical="center" wrapText="1"/>
      <protection/>
    </xf>
    <xf numFmtId="0" fontId="29" fillId="0" borderId="71" xfId="26" applyBorder="1">
      <alignment/>
      <protection/>
    </xf>
    <xf numFmtId="3" fontId="29" fillId="0" borderId="58" xfId="26" applyNumberFormat="1" applyBorder="1" applyAlignment="1">
      <alignment horizontal="right"/>
      <protection/>
    </xf>
    <xf numFmtId="3" fontId="29" fillId="0" borderId="59" xfId="26" applyNumberFormat="1" applyBorder="1" applyAlignment="1">
      <alignment horizontal="right"/>
      <protection/>
    </xf>
    <xf numFmtId="10" fontId="29" fillId="0" borderId="58" xfId="26" applyNumberFormat="1" applyBorder="1" applyAlignment="1">
      <alignment horizontal="right"/>
      <protection/>
    </xf>
    <xf numFmtId="0" fontId="29" fillId="0" borderId="20" xfId="26" applyBorder="1">
      <alignment/>
      <protection/>
    </xf>
    <xf numFmtId="3" fontId="29" fillId="0" borderId="112" xfId="26" applyNumberFormat="1" applyBorder="1" applyAlignment="1">
      <alignment horizontal="right"/>
      <protection/>
    </xf>
    <xf numFmtId="10" fontId="29" fillId="0" borderId="112" xfId="26" applyNumberFormat="1" applyBorder="1" applyAlignment="1">
      <alignment horizontal="right"/>
      <protection/>
    </xf>
    <xf numFmtId="3" fontId="29" fillId="0" borderId="115" xfId="26" applyNumberFormat="1" applyBorder="1" applyAlignment="1">
      <alignment horizontal="right"/>
      <protection/>
    </xf>
    <xf numFmtId="0" fontId="28" fillId="0" borderId="9" xfId="26" applyFont="1" applyBorder="1">
      <alignment/>
      <protection/>
    </xf>
    <xf numFmtId="3" fontId="29" fillId="8" borderId="10" xfId="26" applyNumberFormat="1" applyFill="1" applyBorder="1" applyAlignment="1">
      <alignment horizontal="right"/>
      <protection/>
    </xf>
    <xf numFmtId="3" fontId="28" fillId="0" borderId="10" xfId="26" applyNumberFormat="1" applyFont="1" applyBorder="1" applyAlignment="1">
      <alignment horizontal="right"/>
      <protection/>
    </xf>
    <xf numFmtId="3" fontId="28" fillId="0" borderId="11" xfId="26" applyNumberFormat="1" applyFont="1" applyBorder="1" applyAlignment="1">
      <alignment horizontal="right"/>
      <protection/>
    </xf>
    <xf numFmtId="0" fontId="68" fillId="0" borderId="0" xfId="26" applyFont="1" applyFill="1" applyBorder="1" applyAlignment="1">
      <alignment horizontal="right"/>
      <protection/>
    </xf>
    <xf numFmtId="0" fontId="48" fillId="0" borderId="0" xfId="26" applyFont="1" applyFill="1" applyBorder="1">
      <alignment/>
      <protection/>
    </xf>
    <xf numFmtId="0" fontId="68" fillId="0" borderId="0" xfId="26" applyFont="1" applyFill="1" applyBorder="1">
      <alignment/>
      <protection/>
    </xf>
    <xf numFmtId="0" fontId="48" fillId="0" borderId="126" xfId="28" applyFont="1" applyBorder="1" applyAlignment="1">
      <alignment horizontal="center" vertical="center" wrapText="1"/>
      <protection/>
    </xf>
    <xf numFmtId="0" fontId="48" fillId="0" borderId="163" xfId="28" applyFont="1" applyBorder="1" applyAlignment="1">
      <alignment horizontal="center" vertical="center" wrapText="1"/>
      <protection/>
    </xf>
    <xf numFmtId="0" fontId="68" fillId="0" borderId="116" xfId="28" applyFont="1" applyBorder="1" applyAlignment="1">
      <alignment vertical="center"/>
      <protection/>
    </xf>
    <xf numFmtId="0" fontId="68" fillId="0" borderId="12" xfId="28" applyFont="1" applyBorder="1" applyAlignment="1">
      <alignment vertical="center"/>
      <protection/>
    </xf>
    <xf numFmtId="3" fontId="68" fillId="0" borderId="111" xfId="28" applyNumberFormat="1" applyFont="1" applyBorder="1" applyAlignment="1">
      <alignment vertical="center" wrapText="1"/>
      <protection/>
    </xf>
    <xf numFmtId="3" fontId="68" fillId="8" borderId="121" xfId="28" applyNumberFormat="1" applyFont="1" applyFill="1" applyBorder="1" applyAlignment="1">
      <alignment vertical="center" wrapText="1"/>
      <protection/>
    </xf>
    <xf numFmtId="0" fontId="68" fillId="0" borderId="0" xfId="28" applyFont="1" applyBorder="1" applyAlignment="1">
      <alignment vertical="center" wrapText="1"/>
      <protection/>
    </xf>
    <xf numFmtId="0" fontId="68" fillId="0" borderId="23" xfId="28" applyFont="1" applyBorder="1" applyAlignment="1">
      <alignment vertical="center"/>
      <protection/>
    </xf>
    <xf numFmtId="3" fontId="68" fillId="0" borderId="34" xfId="28" applyNumberFormat="1" applyFont="1" applyBorder="1" applyAlignment="1">
      <alignment vertical="center" wrapText="1"/>
      <protection/>
    </xf>
    <xf numFmtId="3" fontId="68" fillId="8" borderId="123" xfId="28" applyNumberFormat="1" applyFont="1" applyFill="1" applyBorder="1" applyAlignment="1">
      <alignment vertical="center" wrapText="1"/>
      <protection/>
    </xf>
    <xf numFmtId="0" fontId="68" fillId="0" borderId="125" xfId="28" applyFont="1" applyBorder="1" applyAlignment="1">
      <alignment vertical="center"/>
      <protection/>
    </xf>
    <xf numFmtId="0" fontId="68" fillId="0" borderId="133" xfId="28" applyFont="1" applyBorder="1" applyAlignment="1">
      <alignment vertical="center"/>
      <protection/>
    </xf>
    <xf numFmtId="3" fontId="68" fillId="0" borderId="113" xfId="28" applyNumberFormat="1" applyFont="1" applyBorder="1" applyAlignment="1">
      <alignment vertical="center" wrapText="1"/>
      <protection/>
    </xf>
    <xf numFmtId="3" fontId="68" fillId="8" borderId="137" xfId="28" applyNumberFormat="1" applyFont="1" applyFill="1" applyBorder="1" applyAlignment="1">
      <alignment vertical="center" wrapText="1"/>
      <protection/>
    </xf>
    <xf numFmtId="3" fontId="68" fillId="8" borderId="164" xfId="28" applyNumberFormat="1" applyFont="1" applyFill="1" applyBorder="1" applyAlignment="1">
      <alignment vertical="center" wrapText="1"/>
      <protection/>
    </xf>
    <xf numFmtId="0" fontId="68" fillId="0" borderId="143" xfId="28" applyFont="1" applyBorder="1" applyAlignment="1">
      <alignment vertical="center"/>
      <protection/>
    </xf>
    <xf numFmtId="3" fontId="68" fillId="2" borderId="121" xfId="28" applyNumberFormat="1" applyFont="1" applyFill="1" applyBorder="1" applyAlignment="1">
      <alignment vertical="center" wrapText="1"/>
      <protection/>
    </xf>
    <xf numFmtId="3" fontId="68" fillId="2" borderId="108" xfId="28" applyNumberFormat="1" applyFont="1" applyFill="1" applyBorder="1" applyAlignment="1">
      <alignment vertical="center" wrapText="1"/>
      <protection/>
    </xf>
    <xf numFmtId="3" fontId="68" fillId="2" borderId="111" xfId="28" applyNumberFormat="1" applyFont="1" applyFill="1" applyBorder="1" applyAlignment="1">
      <alignment vertical="center" wrapText="1"/>
      <protection/>
    </xf>
    <xf numFmtId="0" fontId="68" fillId="0" borderId="120" xfId="28" applyFont="1" applyBorder="1" applyAlignment="1">
      <alignment vertical="center"/>
      <protection/>
    </xf>
    <xf numFmtId="3" fontId="68" fillId="2" borderId="123" xfId="28" applyNumberFormat="1" applyFont="1" applyFill="1" applyBorder="1" applyAlignment="1">
      <alignment vertical="center" wrapText="1"/>
      <protection/>
    </xf>
    <xf numFmtId="3" fontId="68" fillId="2" borderId="58" xfId="28" applyNumberFormat="1" applyFont="1" applyFill="1" applyBorder="1" applyAlignment="1">
      <alignment vertical="center" wrapText="1"/>
      <protection/>
    </xf>
    <xf numFmtId="3" fontId="68" fillId="2" borderId="34" xfId="28" applyNumberFormat="1" applyFont="1" applyFill="1" applyBorder="1" applyAlignment="1">
      <alignment vertical="center" wrapText="1"/>
      <protection/>
    </xf>
    <xf numFmtId="0" fontId="68" fillId="0" borderId="165" xfId="28" applyFont="1" applyBorder="1" applyAlignment="1">
      <alignment vertical="center"/>
      <protection/>
    </xf>
    <xf numFmtId="3" fontId="68" fillId="2" borderId="137" xfId="28" applyNumberFormat="1" applyFont="1" applyFill="1" applyBorder="1" applyAlignment="1">
      <alignment vertical="center" wrapText="1"/>
      <protection/>
    </xf>
    <xf numFmtId="3" fontId="68" fillId="2" borderId="112" xfId="28" applyNumberFormat="1" applyFont="1" applyFill="1" applyBorder="1" applyAlignment="1">
      <alignment vertical="center" wrapText="1"/>
      <protection/>
    </xf>
    <xf numFmtId="3" fontId="68" fillId="2" borderId="113" xfId="28" applyNumberFormat="1" applyFont="1" applyFill="1" applyBorder="1" applyAlignment="1">
      <alignment vertical="center" wrapText="1"/>
      <protection/>
    </xf>
    <xf numFmtId="0" fontId="68" fillId="0" borderId="116" xfId="28" applyFont="1" applyBorder="1" applyAlignment="1" applyProtection="1">
      <alignment vertical="center"/>
      <protection locked="0"/>
    </xf>
    <xf numFmtId="0" fontId="68" fillId="0" borderId="12" xfId="28" applyFont="1" applyBorder="1" applyAlignment="1" applyProtection="1">
      <alignment vertical="center"/>
      <protection locked="0"/>
    </xf>
    <xf numFmtId="3" fontId="68" fillId="0" borderId="121" xfId="28" applyNumberFormat="1" applyFont="1" applyBorder="1" applyAlignment="1" applyProtection="1">
      <alignment vertical="center" wrapText="1"/>
      <protection locked="0"/>
    </xf>
    <xf numFmtId="3" fontId="68" fillId="0" borderId="108" xfId="28" applyNumberFormat="1" applyFont="1" applyBorder="1" applyAlignment="1" applyProtection="1">
      <alignment vertical="center" wrapText="1"/>
      <protection locked="0"/>
    </xf>
    <xf numFmtId="3" fontId="68" fillId="8" borderId="108" xfId="28" applyNumberFormat="1" applyFont="1" applyFill="1" applyBorder="1" applyAlignment="1">
      <alignment vertical="center" wrapText="1"/>
      <protection/>
    </xf>
    <xf numFmtId="3" fontId="68" fillId="8" borderId="111" xfId="28" applyNumberFormat="1" applyFont="1" applyFill="1" applyBorder="1" applyAlignment="1">
      <alignment vertical="center" wrapText="1"/>
      <protection/>
    </xf>
    <xf numFmtId="0" fontId="68" fillId="0" borderId="119" xfId="28" applyFont="1" applyBorder="1" applyAlignment="1" applyProtection="1">
      <alignment vertical="center"/>
      <protection locked="0"/>
    </xf>
    <xf numFmtId="0" fontId="68" fillId="0" borderId="23" xfId="28" applyFont="1" applyBorder="1" applyAlignment="1" applyProtection="1">
      <alignment vertical="center"/>
      <protection locked="0"/>
    </xf>
    <xf numFmtId="3" fontId="68" fillId="0" borderId="123" xfId="28" applyNumberFormat="1" applyFont="1" applyBorder="1" applyAlignment="1" applyProtection="1">
      <alignment vertical="center" wrapText="1"/>
      <protection locked="0"/>
    </xf>
    <xf numFmtId="3" fontId="68" fillId="0" borderId="58" xfId="28" applyNumberFormat="1" applyFont="1" applyBorder="1" applyAlignment="1" applyProtection="1">
      <alignment vertical="center" wrapText="1"/>
      <protection locked="0"/>
    </xf>
    <xf numFmtId="3" fontId="68" fillId="8" borderId="58" xfId="28" applyNumberFormat="1" applyFont="1" applyFill="1" applyBorder="1" applyAlignment="1">
      <alignment vertical="center" wrapText="1"/>
      <protection/>
    </xf>
    <xf numFmtId="3" fontId="68" fillId="8" borderId="34" xfId="28" applyNumberFormat="1" applyFont="1" applyFill="1" applyBorder="1" applyAlignment="1">
      <alignment vertical="center" wrapText="1"/>
      <protection/>
    </xf>
    <xf numFmtId="0" fontId="68" fillId="0" borderId="125" xfId="28" applyFont="1" applyBorder="1" applyAlignment="1" applyProtection="1">
      <alignment vertical="center"/>
      <protection locked="0"/>
    </xf>
    <xf numFmtId="0" fontId="68" fillId="0" borderId="133" xfId="28" applyFont="1" applyBorder="1" applyAlignment="1" applyProtection="1">
      <alignment vertical="center"/>
      <protection locked="0"/>
    </xf>
    <xf numFmtId="3" fontId="68" fillId="0" borderId="137" xfId="28" applyNumberFormat="1" applyFont="1" applyBorder="1" applyAlignment="1" applyProtection="1">
      <alignment vertical="center" wrapText="1"/>
      <protection locked="0"/>
    </xf>
    <xf numFmtId="3" fontId="68" fillId="0" borderId="112" xfId="28" applyNumberFormat="1" applyFont="1" applyBorder="1" applyAlignment="1" applyProtection="1">
      <alignment vertical="center" wrapText="1"/>
      <protection locked="0"/>
    </xf>
    <xf numFmtId="0" fontId="48" fillId="0" borderId="58" xfId="28" applyFont="1" applyBorder="1" applyAlignment="1">
      <alignment horizontal="center" vertical="center" wrapText="1"/>
      <protection/>
    </xf>
    <xf numFmtId="3" fontId="68" fillId="8" borderId="85" xfId="28" applyNumberFormat="1" applyFont="1" applyFill="1" applyBorder="1" applyAlignment="1">
      <alignment vertical="center" wrapText="1"/>
      <protection/>
    </xf>
    <xf numFmtId="49" fontId="39" fillId="6" borderId="0" xfId="25" applyNumberFormat="1" applyFont="1" applyFill="1" applyAlignment="1">
      <alignment/>
      <protection/>
    </xf>
    <xf numFmtId="0" fontId="38" fillId="6" borderId="0" xfId="0" applyFont="1" applyFill="1" applyBorder="1" applyAlignment="1">
      <alignment/>
    </xf>
    <xf numFmtId="0" fontId="48" fillId="6" borderId="0" xfId="0" applyFont="1" applyFill="1" applyBorder="1" applyAlignment="1">
      <alignment horizontal="right"/>
    </xf>
    <xf numFmtId="0" fontId="29" fillId="6" borderId="0" xfId="0" applyFont="1" applyFill="1" applyAlignment="1">
      <alignment/>
    </xf>
    <xf numFmtId="0" fontId="39" fillId="6" borderId="0" xfId="0" applyNumberFormat="1" applyFont="1" applyFill="1" applyBorder="1" applyAlignment="1">
      <alignment horizontal="right"/>
    </xf>
    <xf numFmtId="0" fontId="42" fillId="6" borderId="0" xfId="25" applyNumberFormat="1" applyFont="1" applyFill="1" applyAlignment="1">
      <alignment horizontal="centerContinuous"/>
      <protection/>
    </xf>
    <xf numFmtId="0" fontId="71" fillId="6" borderId="0" xfId="25" applyNumberFormat="1" applyFont="1" applyFill="1" applyAlignment="1">
      <alignment horizontal="centerContinuous"/>
      <protection/>
    </xf>
    <xf numFmtId="0" fontId="40" fillId="6" borderId="0" xfId="25" applyNumberFormat="1" applyFont="1" applyFill="1" applyAlignment="1">
      <alignment horizontal="left"/>
      <protection/>
    </xf>
    <xf numFmtId="0" fontId="29" fillId="6" borderId="0" xfId="0" applyFont="1" applyFill="1" applyAlignment="1">
      <alignment horizontal="left"/>
    </xf>
    <xf numFmtId="0" fontId="68" fillId="6" borderId="0" xfId="0" applyFont="1" applyFill="1" applyBorder="1" applyAlignment="1">
      <alignment vertical="center" wrapText="1"/>
    </xf>
    <xf numFmtId="0" fontId="68" fillId="6" borderId="0" xfId="28" applyFont="1" applyFill="1" applyBorder="1" applyAlignment="1" applyProtection="1">
      <alignment vertical="center"/>
      <protection locked="0"/>
    </xf>
    <xf numFmtId="3" fontId="68" fillId="6" borderId="0" xfId="28" applyNumberFormat="1" applyFont="1" applyFill="1" applyBorder="1" applyAlignment="1" applyProtection="1">
      <alignment vertical="center" wrapText="1"/>
      <protection locked="0"/>
    </xf>
    <xf numFmtId="3" fontId="68" fillId="6" borderId="0" xfId="28" applyNumberFormat="1" applyFont="1" applyFill="1" applyBorder="1" applyAlignment="1">
      <alignment vertical="center" wrapText="1"/>
      <protection/>
    </xf>
    <xf numFmtId="0" fontId="48" fillId="6" borderId="0" xfId="28" applyFont="1" applyFill="1" applyBorder="1" applyAlignment="1">
      <alignment horizontal="center" vertical="center" wrapText="1"/>
      <protection/>
    </xf>
    <xf numFmtId="0" fontId="68" fillId="6" borderId="0" xfId="26" applyFont="1" applyFill="1" applyBorder="1">
      <alignment/>
      <protection/>
    </xf>
    <xf numFmtId="0" fontId="29" fillId="6" borderId="0" xfId="26" applyFont="1" applyFill="1">
      <alignment/>
      <protection/>
    </xf>
    <xf numFmtId="0" fontId="72" fillId="6" borderId="0" xfId="23" applyFont="1" applyFill="1">
      <alignment/>
      <protection/>
    </xf>
    <xf numFmtId="0" fontId="48" fillId="6" borderId="66" xfId="28" applyFont="1" applyFill="1" applyBorder="1" applyAlignment="1">
      <alignment horizontal="centerContinuous" vertical="center"/>
      <protection/>
    </xf>
    <xf numFmtId="0" fontId="48" fillId="6" borderId="67" xfId="28" applyFont="1" applyFill="1" applyBorder="1" applyAlignment="1">
      <alignment horizontal="centerContinuous" vertical="center"/>
      <protection/>
    </xf>
    <xf numFmtId="0" fontId="48" fillId="6" borderId="68" xfId="28" applyFont="1" applyFill="1" applyBorder="1" applyAlignment="1">
      <alignment horizontal="centerContinuous" vertical="center"/>
      <protection/>
    </xf>
    <xf numFmtId="0" fontId="68" fillId="6" borderId="110" xfId="28" applyFont="1" applyFill="1" applyBorder="1" applyAlignment="1" applyProtection="1">
      <alignment horizontal="left" vertical="center"/>
      <protection locked="0"/>
    </xf>
    <xf numFmtId="0" fontId="68" fillId="6" borderId="131" xfId="28" applyFont="1" applyFill="1" applyBorder="1" applyAlignment="1" applyProtection="1">
      <alignment horizontal="left" vertical="center"/>
      <protection locked="0"/>
    </xf>
    <xf numFmtId="0" fontId="72" fillId="6" borderId="0" xfId="23" applyFont="1" applyFill="1" applyAlignment="1">
      <alignment vertical="center"/>
      <protection/>
    </xf>
    <xf numFmtId="0" fontId="68" fillId="6" borderId="71" xfId="28" applyFont="1" applyFill="1" applyBorder="1" applyAlignment="1" applyProtection="1">
      <alignment horizontal="left" vertical="center"/>
      <protection locked="0"/>
    </xf>
    <xf numFmtId="0" fontId="68" fillId="6" borderId="82" xfId="28" applyFont="1" applyFill="1" applyBorder="1" applyAlignment="1" applyProtection="1">
      <alignment horizontal="left" vertical="center"/>
      <protection locked="0"/>
    </xf>
    <xf numFmtId="0" fontId="68" fillId="6" borderId="76" xfId="28" applyFont="1" applyFill="1" applyBorder="1" applyAlignment="1" applyProtection="1">
      <alignment horizontal="left" vertical="center"/>
      <protection locked="0"/>
    </xf>
    <xf numFmtId="0" fontId="68" fillId="6" borderId="93" xfId="28" applyFont="1" applyFill="1" applyBorder="1" applyAlignment="1" applyProtection="1">
      <alignment horizontal="left" vertical="center"/>
      <protection locked="0"/>
    </xf>
    <xf numFmtId="0" fontId="68" fillId="6" borderId="66" xfId="28" applyFont="1" applyFill="1" applyBorder="1" applyAlignment="1" applyProtection="1">
      <alignment horizontal="left" vertical="center"/>
      <protection locked="0"/>
    </xf>
    <xf numFmtId="0" fontId="68" fillId="6" borderId="87" xfId="28" applyFont="1" applyFill="1" applyBorder="1" applyAlignment="1" applyProtection="1">
      <alignment horizontal="left" vertical="center"/>
      <protection locked="0"/>
    </xf>
    <xf numFmtId="4" fontId="68" fillId="6" borderId="108" xfId="28" applyNumberFormat="1" applyFont="1" applyFill="1" applyBorder="1" applyAlignment="1" applyProtection="1">
      <alignment horizontal="right" vertical="center" wrapText="1"/>
      <protection locked="0"/>
    </xf>
    <xf numFmtId="4" fontId="68" fillId="6" borderId="58" xfId="28" applyNumberFormat="1" applyFont="1" applyFill="1" applyBorder="1" applyAlignment="1" applyProtection="1">
      <alignment horizontal="right" vertical="center" wrapText="1"/>
      <protection locked="0"/>
    </xf>
    <xf numFmtId="4" fontId="68" fillId="6" borderId="77" xfId="28" applyNumberFormat="1" applyFont="1" applyFill="1" applyBorder="1" applyAlignment="1" applyProtection="1">
      <alignment horizontal="right" vertical="center" wrapText="1"/>
      <protection locked="0"/>
    </xf>
    <xf numFmtId="4" fontId="68" fillId="8" borderId="10" xfId="28" applyNumberFormat="1" applyFont="1" applyFill="1" applyBorder="1" applyAlignment="1">
      <alignment horizontal="right" vertical="center" wrapText="1"/>
      <protection/>
    </xf>
    <xf numFmtId="0" fontId="68" fillId="6" borderId="0" xfId="28" applyFont="1" applyFill="1" applyBorder="1" applyAlignment="1">
      <alignment vertical="center"/>
      <protection/>
    </xf>
    <xf numFmtId="0" fontId="68" fillId="6" borderId="0" xfId="28" applyFont="1" applyFill="1" applyBorder="1" applyAlignment="1">
      <alignment horizontal="right" vertical="center"/>
      <protection/>
    </xf>
    <xf numFmtId="0" fontId="40" fillId="6" borderId="0" xfId="25" applyNumberFormat="1" applyFont="1" applyFill="1" applyAlignment="1">
      <alignment horizontal="centerContinuous"/>
      <protection/>
    </xf>
    <xf numFmtId="0" fontId="29" fillId="6" borderId="0" xfId="0" applyFont="1" applyFill="1" applyAlignment="1">
      <alignment horizontal="centerContinuous"/>
    </xf>
    <xf numFmtId="0" fontId="54" fillId="6" borderId="0" xfId="28" applyFont="1" applyFill="1" applyAlignment="1">
      <alignment vertical="center" wrapText="1"/>
      <protection/>
    </xf>
    <xf numFmtId="0" fontId="1" fillId="13" borderId="71" xfId="0" applyNumberFormat="1" applyFont="1" applyFill="1" applyBorder="1" applyAlignment="1" applyProtection="1">
      <alignment vertical="center"/>
      <protection hidden="1"/>
    </xf>
    <xf numFmtId="3" fontId="0" fillId="13" borderId="58" xfId="0" applyNumberFormat="1" applyFont="1" applyFill="1" applyBorder="1" applyAlignment="1" applyProtection="1">
      <alignment vertical="center"/>
      <protection hidden="1"/>
    </xf>
    <xf numFmtId="3" fontId="0" fillId="13" borderId="59" xfId="0" applyNumberFormat="1" applyFont="1" applyFill="1" applyBorder="1" applyAlignment="1" applyProtection="1">
      <alignment vertical="center"/>
      <protection hidden="1"/>
    </xf>
    <xf numFmtId="0" fontId="1" fillId="0" borderId="71" xfId="0" applyNumberFormat="1" applyFont="1" applyFill="1" applyBorder="1" applyAlignment="1" applyProtection="1">
      <alignment horizontal="left" vertical="center" indent="1"/>
      <protection hidden="1"/>
    </xf>
    <xf numFmtId="3" fontId="0" fillId="0" borderId="58" xfId="0" applyNumberFormat="1" applyFont="1" applyFill="1" applyBorder="1" applyAlignment="1" applyProtection="1">
      <alignment vertical="center"/>
      <protection hidden="1"/>
    </xf>
    <xf numFmtId="3" fontId="1" fillId="0" borderId="58" xfId="0" applyNumberFormat="1" applyFont="1" applyFill="1" applyBorder="1" applyAlignment="1" applyProtection="1">
      <alignment vertical="center"/>
      <protection hidden="1"/>
    </xf>
    <xf numFmtId="3" fontId="0" fillId="0" borderId="59" xfId="0" applyNumberFormat="1" applyFont="1" applyFill="1" applyBorder="1" applyAlignment="1" applyProtection="1">
      <alignment vertical="center"/>
      <protection hidden="1"/>
    </xf>
    <xf numFmtId="169" fontId="0" fillId="0" borderId="71" xfId="0" applyNumberFormat="1" applyFont="1" applyFill="1" applyBorder="1" applyAlignment="1" applyProtection="1">
      <alignment horizontal="left" vertical="center" wrapText="1" indent="2"/>
      <protection hidden="1"/>
    </xf>
    <xf numFmtId="3" fontId="0" fillId="14" borderId="58" xfId="0" applyNumberFormat="1" applyFont="1" applyFill="1" applyBorder="1" applyAlignment="1" applyProtection="1">
      <alignment vertical="center"/>
      <protection locked="0"/>
    </xf>
    <xf numFmtId="3" fontId="0" fillId="7" borderId="58" xfId="0" applyNumberFormat="1" applyFont="1" applyFill="1" applyBorder="1" applyAlignment="1" applyProtection="1">
      <alignment vertical="center"/>
      <protection hidden="1"/>
    </xf>
    <xf numFmtId="3" fontId="0" fillId="7" borderId="59" xfId="0" applyNumberFormat="1" applyFont="1" applyFill="1" applyBorder="1" applyAlignment="1" applyProtection="1">
      <alignment vertical="center"/>
      <protection hidden="1"/>
    </xf>
    <xf numFmtId="3" fontId="1" fillId="0" borderId="59" xfId="0" applyNumberFormat="1" applyFont="1" applyFill="1" applyBorder="1" applyAlignment="1" applyProtection="1">
      <alignment vertical="center"/>
      <protection hidden="1"/>
    </xf>
    <xf numFmtId="0" fontId="28" fillId="8" borderId="1" xfId="26" applyFont="1" applyFill="1" applyBorder="1" applyAlignment="1">
      <alignment horizontal="left" vertical="center"/>
      <protection/>
    </xf>
    <xf numFmtId="0" fontId="28" fillId="8" borderId="8" xfId="26" applyFont="1" applyFill="1" applyBorder="1" applyAlignment="1">
      <alignment horizontal="left" vertical="center"/>
      <protection/>
    </xf>
    <xf numFmtId="0" fontId="28" fillId="8" borderId="158" xfId="26" applyFont="1" applyFill="1" applyBorder="1" applyAlignment="1">
      <alignment horizontal="left" vertical="center"/>
      <protection/>
    </xf>
    <xf numFmtId="3" fontId="68" fillId="8" borderId="109" xfId="28" applyNumberFormat="1" applyFont="1" applyFill="1" applyBorder="1" applyAlignment="1" applyProtection="1">
      <alignment horizontal="right" vertical="center" wrapText="1"/>
      <protection/>
    </xf>
    <xf numFmtId="0" fontId="1" fillId="0" borderId="9" xfId="0" applyNumberFormat="1" applyFont="1" applyFill="1" applyBorder="1" applyAlignment="1" applyProtection="1">
      <alignment horizontal="center" vertical="center" wrapText="1"/>
      <protection hidden="1"/>
    </xf>
    <xf numFmtId="0" fontId="1" fillId="0" borderId="10" xfId="0" applyNumberFormat="1"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center" vertical="center" wrapText="1"/>
      <protection hidden="1"/>
    </xf>
    <xf numFmtId="3" fontId="0" fillId="13" borderId="108" xfId="0" applyNumberFormat="1" applyFont="1" applyFill="1" applyBorder="1" applyAlignment="1" applyProtection="1">
      <alignment vertical="center"/>
      <protection hidden="1"/>
    </xf>
    <xf numFmtId="3" fontId="0" fillId="13" borderId="154" xfId="0" applyNumberFormat="1" applyFont="1" applyFill="1" applyBorder="1" applyAlignment="1" applyProtection="1">
      <alignment vertical="center"/>
      <protection hidden="1"/>
    </xf>
    <xf numFmtId="3" fontId="1" fillId="0" borderId="85" xfId="0" applyNumberFormat="1" applyFont="1" applyFill="1" applyBorder="1" applyAlignment="1" applyProtection="1">
      <alignment vertical="center"/>
      <protection hidden="1"/>
    </xf>
    <xf numFmtId="3" fontId="0" fillId="13" borderId="85" xfId="0" applyNumberFormat="1" applyFont="1" applyFill="1" applyBorder="1" applyAlignment="1" applyProtection="1">
      <alignment vertical="center"/>
      <protection hidden="1"/>
    </xf>
    <xf numFmtId="3" fontId="0" fillId="0" borderId="85" xfId="0" applyNumberFormat="1" applyFont="1" applyFill="1" applyBorder="1" applyAlignment="1" applyProtection="1">
      <alignment vertical="center"/>
      <protection hidden="1"/>
    </xf>
    <xf numFmtId="3" fontId="0" fillId="7" borderId="85" xfId="0" applyNumberFormat="1" applyFont="1" applyFill="1" applyBorder="1" applyAlignment="1" applyProtection="1">
      <alignment vertical="center"/>
      <protection hidden="1"/>
    </xf>
    <xf numFmtId="169" fontId="0" fillId="0" borderId="20" xfId="0" applyNumberFormat="1" applyFont="1" applyFill="1" applyBorder="1" applyAlignment="1" applyProtection="1">
      <alignment horizontal="left" vertical="center" wrapText="1" indent="2"/>
      <protection hidden="1"/>
    </xf>
    <xf numFmtId="3" fontId="0" fillId="0" borderId="114" xfId="0" applyNumberFormat="1" applyFont="1" applyFill="1" applyBorder="1" applyAlignment="1" applyProtection="1">
      <alignment vertical="center"/>
      <protection hidden="1"/>
    </xf>
    <xf numFmtId="3" fontId="0" fillId="0" borderId="112" xfId="0" applyNumberFormat="1" applyFont="1" applyFill="1" applyBorder="1" applyAlignment="1" applyProtection="1">
      <alignment vertical="center"/>
      <protection hidden="1"/>
    </xf>
    <xf numFmtId="0" fontId="1" fillId="13" borderId="9" xfId="0" applyNumberFormat="1" applyFont="1" applyFill="1" applyBorder="1" applyAlignment="1" applyProtection="1">
      <alignment vertical="center"/>
      <protection hidden="1"/>
    </xf>
    <xf numFmtId="0" fontId="1" fillId="0" borderId="110" xfId="0" applyNumberFormat="1" applyFont="1" applyFill="1" applyBorder="1" applyAlignment="1" applyProtection="1">
      <alignment vertical="center"/>
      <protection hidden="1"/>
    </xf>
    <xf numFmtId="0" fontId="1" fillId="0" borderId="14" xfId="0" applyNumberFormat="1" applyFont="1" applyFill="1" applyBorder="1" applyAlignment="1" applyProtection="1">
      <alignment horizontal="center" vertical="center" wrapText="1"/>
      <protection hidden="1"/>
    </xf>
    <xf numFmtId="3" fontId="0" fillId="15" borderId="85" xfId="0" applyNumberFormat="1" applyFont="1" applyFill="1" applyBorder="1" applyAlignment="1" applyProtection="1">
      <alignment vertical="center"/>
      <protection locked="0"/>
    </xf>
    <xf numFmtId="3" fontId="0" fillId="15" borderId="58" xfId="0" applyNumberFormat="1" applyFont="1" applyFill="1" applyBorder="1" applyAlignment="1" applyProtection="1">
      <alignment vertical="center"/>
      <protection locked="0"/>
    </xf>
    <xf numFmtId="3" fontId="0" fillId="15" borderId="59" xfId="0" applyNumberFormat="1" applyFont="1" applyFill="1" applyBorder="1" applyAlignment="1" applyProtection="1">
      <alignment vertical="center"/>
      <protection locked="0"/>
    </xf>
    <xf numFmtId="3" fontId="0" fillId="15" borderId="115" xfId="0" applyNumberFormat="1" applyFont="1" applyFill="1" applyBorder="1" applyAlignment="1" applyProtection="1">
      <alignment vertical="center"/>
      <protection locked="0"/>
    </xf>
    <xf numFmtId="0" fontId="71" fillId="6" borderId="0" xfId="25" applyNumberFormat="1" applyFont="1" applyFill="1" applyAlignment="1">
      <alignment horizontal="left"/>
      <protection/>
    </xf>
    <xf numFmtId="0" fontId="48" fillId="6" borderId="0" xfId="28" applyFont="1" applyFill="1" applyBorder="1" applyAlignment="1">
      <alignment vertical="center"/>
      <protection/>
    </xf>
    <xf numFmtId="0" fontId="48" fillId="6" borderId="0" xfId="0" applyFont="1" applyFill="1" applyBorder="1" applyAlignment="1">
      <alignment vertical="center"/>
    </xf>
    <xf numFmtId="0" fontId="68" fillId="6" borderId="0" xfId="23" applyFont="1" applyFill="1" applyBorder="1" applyAlignment="1">
      <alignment horizontal="right"/>
      <protection/>
    </xf>
    <xf numFmtId="0" fontId="48" fillId="6" borderId="126" xfId="28" applyFont="1" applyFill="1" applyBorder="1" applyAlignment="1">
      <alignment horizontal="center" vertical="center" wrapText="1"/>
      <protection/>
    </xf>
    <xf numFmtId="0" fontId="48" fillId="6" borderId="127" xfId="28" applyFont="1" applyFill="1" applyBorder="1" applyAlignment="1">
      <alignment horizontal="center" vertical="center" wrapText="1"/>
      <protection/>
    </xf>
    <xf numFmtId="0" fontId="68" fillId="6" borderId="119" xfId="28" applyFont="1" applyFill="1" applyBorder="1" applyAlignment="1">
      <alignment vertical="center" wrapText="1"/>
      <protection/>
    </xf>
    <xf numFmtId="0" fontId="68" fillId="6" borderId="120" xfId="28" applyFont="1" applyFill="1" applyBorder="1" applyAlignment="1">
      <alignment horizontal="left" vertical="center" wrapText="1"/>
      <protection/>
    </xf>
    <xf numFmtId="0" fontId="68" fillId="6" borderId="125" xfId="28" applyFont="1" applyFill="1" applyBorder="1" applyAlignment="1">
      <alignment vertical="center" wrapText="1"/>
      <protection/>
    </xf>
    <xf numFmtId="0" fontId="68" fillId="6" borderId="165" xfId="28" applyFont="1" applyFill="1" applyBorder="1" applyAlignment="1">
      <alignment horizontal="left" vertical="center" wrapText="1"/>
      <protection/>
    </xf>
    <xf numFmtId="3" fontId="68" fillId="8" borderId="149" xfId="28" applyNumberFormat="1" applyFont="1" applyFill="1" applyBorder="1" applyAlignment="1">
      <alignment horizontal="right" vertical="center"/>
      <protection/>
    </xf>
    <xf numFmtId="3" fontId="68" fillId="8" borderId="151" xfId="28" applyNumberFormat="1" applyFont="1" applyFill="1" applyBorder="1" applyAlignment="1">
      <alignment horizontal="right" vertical="center"/>
      <protection/>
    </xf>
    <xf numFmtId="0" fontId="68" fillId="6" borderId="116" xfId="28" applyFont="1" applyFill="1" applyBorder="1" applyAlignment="1">
      <alignment vertical="center" wrapText="1"/>
      <protection/>
    </xf>
    <xf numFmtId="0" fontId="68" fillId="6" borderId="143" xfId="28" applyFont="1" applyFill="1" applyBorder="1" applyAlignment="1">
      <alignment vertical="center" wrapText="1"/>
      <protection/>
    </xf>
    <xf numFmtId="0" fontId="68" fillId="6" borderId="120" xfId="28" applyFont="1" applyFill="1" applyBorder="1" applyAlignment="1">
      <alignment vertical="center" wrapText="1"/>
      <protection/>
    </xf>
    <xf numFmtId="3" fontId="68" fillId="6" borderId="123" xfId="28" applyNumberFormat="1" applyFont="1" applyFill="1" applyBorder="1" applyAlignment="1">
      <alignment horizontal="right" vertical="center"/>
      <protection/>
    </xf>
    <xf numFmtId="3" fontId="68" fillId="6" borderId="124" xfId="28" applyNumberFormat="1" applyFont="1" applyFill="1" applyBorder="1" applyAlignment="1">
      <alignment horizontal="right" vertical="center"/>
      <protection/>
    </xf>
    <xf numFmtId="0" fontId="68" fillId="6" borderId="165" xfId="28" applyFont="1" applyFill="1" applyBorder="1" applyAlignment="1">
      <alignment vertical="center" wrapText="1"/>
      <protection/>
    </xf>
    <xf numFmtId="0" fontId="48" fillId="6" borderId="125" xfId="28" applyFont="1" applyFill="1" applyBorder="1" applyAlignment="1">
      <alignment vertical="center" wrapText="1"/>
      <protection/>
    </xf>
    <xf numFmtId="0" fontId="48" fillId="6" borderId="165" xfId="28" applyFont="1" applyFill="1" applyBorder="1" applyAlignment="1">
      <alignment vertical="center" wrapText="1"/>
      <protection/>
    </xf>
    <xf numFmtId="0" fontId="68" fillId="6" borderId="0" xfId="28" applyFont="1" applyFill="1" applyAlignment="1">
      <alignment horizontal="right" vertical="center" wrapText="1"/>
      <protection/>
    </xf>
    <xf numFmtId="0" fontId="68" fillId="0" borderId="116" xfId="28" applyFont="1" applyBorder="1" applyAlignment="1">
      <alignment vertical="center" wrapText="1"/>
      <protection/>
    </xf>
    <xf numFmtId="0" fontId="68" fillId="0" borderId="143" xfId="28" applyFont="1" applyBorder="1" applyAlignment="1">
      <alignment vertical="center" wrapText="1"/>
      <protection/>
    </xf>
    <xf numFmtId="3" fontId="68" fillId="0" borderId="122" xfId="28" applyNumberFormat="1" applyFont="1" applyBorder="1" applyAlignment="1">
      <alignment vertical="center" wrapText="1"/>
      <protection/>
    </xf>
    <xf numFmtId="0" fontId="68" fillId="0" borderId="119" xfId="28" applyFont="1" applyBorder="1" applyAlignment="1">
      <alignment vertical="center" wrapText="1"/>
      <protection/>
    </xf>
    <xf numFmtId="0" fontId="68" fillId="0" borderId="120" xfId="28" applyFont="1" applyBorder="1" applyAlignment="1">
      <alignment vertical="center" wrapText="1"/>
      <protection/>
    </xf>
    <xf numFmtId="3" fontId="68" fillId="0" borderId="124" xfId="28" applyNumberFormat="1" applyFont="1" applyBorder="1" applyAlignment="1">
      <alignment vertical="center" wrapText="1"/>
      <protection/>
    </xf>
    <xf numFmtId="0" fontId="68" fillId="0" borderId="125" xfId="28" applyFont="1" applyBorder="1" applyAlignment="1">
      <alignment vertical="center" wrapText="1"/>
      <protection/>
    </xf>
    <xf numFmtId="0" fontId="68" fillId="0" borderId="165" xfId="28" applyFont="1" applyBorder="1" applyAlignment="1">
      <alignment vertical="center" wrapText="1"/>
      <protection/>
    </xf>
    <xf numFmtId="0" fontId="48" fillId="2" borderId="166" xfId="28" applyFont="1" applyFill="1" applyBorder="1" applyAlignment="1">
      <alignment horizontal="left" vertical="center"/>
      <protection/>
    </xf>
    <xf numFmtId="3" fontId="48" fillId="8" borderId="149" xfId="28" applyNumberFormat="1" applyFont="1" applyFill="1" applyBorder="1" applyAlignment="1">
      <alignment vertical="center" wrapText="1"/>
      <protection/>
    </xf>
    <xf numFmtId="3" fontId="48" fillId="8" borderId="151" xfId="28" applyNumberFormat="1" applyFont="1" applyFill="1" applyBorder="1" applyAlignment="1">
      <alignment vertical="center" wrapText="1"/>
      <protection/>
    </xf>
    <xf numFmtId="0" fontId="68" fillId="6" borderId="0" xfId="26" applyFont="1" applyFill="1">
      <alignment/>
      <protection/>
    </xf>
    <xf numFmtId="0" fontId="48" fillId="2" borderId="116" xfId="28" applyFont="1" applyFill="1" applyBorder="1" applyAlignment="1">
      <alignment horizontal="left" vertical="center" wrapText="1"/>
      <protection/>
    </xf>
    <xf numFmtId="0" fontId="48" fillId="2" borderId="143" xfId="28" applyFont="1" applyFill="1" applyBorder="1" applyAlignment="1">
      <alignment horizontal="left" vertical="center" wrapText="1"/>
      <protection/>
    </xf>
    <xf numFmtId="0" fontId="48" fillId="2" borderId="119" xfId="28" applyFont="1" applyFill="1" applyBorder="1" applyAlignment="1">
      <alignment horizontal="left" vertical="center" wrapText="1"/>
      <protection/>
    </xf>
    <xf numFmtId="0" fontId="48" fillId="2" borderId="120" xfId="28" applyFont="1" applyFill="1" applyBorder="1" applyAlignment="1">
      <alignment horizontal="left" vertical="center" wrapText="1"/>
      <protection/>
    </xf>
    <xf numFmtId="3" fontId="48" fillId="0" borderId="117" xfId="28" applyNumberFormat="1" applyFont="1" applyFill="1" applyBorder="1" applyAlignment="1">
      <alignment vertical="center" wrapText="1"/>
      <protection/>
    </xf>
    <xf numFmtId="3" fontId="48" fillId="0" borderId="118" xfId="28" applyNumberFormat="1" applyFont="1" applyFill="1" applyBorder="1" applyAlignment="1">
      <alignment vertical="center" wrapText="1"/>
      <protection/>
    </xf>
    <xf numFmtId="3" fontId="48" fillId="0" borderId="123" xfId="28" applyNumberFormat="1" applyFont="1" applyFill="1" applyBorder="1" applyAlignment="1">
      <alignment vertical="center" wrapText="1"/>
      <protection/>
    </xf>
    <xf numFmtId="3" fontId="48" fillId="0" borderId="124" xfId="28" applyNumberFormat="1" applyFont="1" applyFill="1" applyBorder="1" applyAlignment="1">
      <alignment vertical="center" wrapText="1"/>
      <protection/>
    </xf>
    <xf numFmtId="0" fontId="48" fillId="2" borderId="167" xfId="28" applyFont="1" applyFill="1" applyBorder="1" applyAlignment="1">
      <alignment horizontal="left" vertical="center"/>
      <protection/>
    </xf>
    <xf numFmtId="3" fontId="68" fillId="0" borderId="118" xfId="28" applyNumberFormat="1" applyFont="1" applyBorder="1" applyAlignment="1">
      <alignment vertical="center" wrapText="1"/>
      <protection/>
    </xf>
    <xf numFmtId="3" fontId="68" fillId="0" borderId="126" xfId="28" applyNumberFormat="1" applyFont="1" applyBorder="1" applyAlignment="1">
      <alignment vertical="center" wrapText="1"/>
      <protection/>
    </xf>
    <xf numFmtId="3" fontId="68" fillId="0" borderId="127" xfId="28" applyNumberFormat="1" applyFont="1" applyBorder="1" applyAlignment="1">
      <alignment vertical="center" wrapText="1"/>
      <protection/>
    </xf>
    <xf numFmtId="3" fontId="68" fillId="0" borderId="117" xfId="28" applyNumberFormat="1" applyFont="1" applyBorder="1" applyAlignment="1">
      <alignment horizontal="right" vertical="center" wrapText="1"/>
      <protection/>
    </xf>
    <xf numFmtId="3" fontId="68" fillId="0" borderId="118" xfId="28" applyNumberFormat="1" applyFont="1" applyBorder="1" applyAlignment="1">
      <alignment horizontal="right" vertical="center" wrapText="1"/>
      <protection/>
    </xf>
    <xf numFmtId="3" fontId="68" fillId="0" borderId="123" xfId="28" applyNumberFormat="1" applyFont="1" applyBorder="1" applyAlignment="1">
      <alignment horizontal="right" vertical="center" wrapText="1"/>
      <protection/>
    </xf>
    <xf numFmtId="3" fontId="68" fillId="0" borderId="124" xfId="28" applyNumberFormat="1" applyFont="1" applyBorder="1" applyAlignment="1">
      <alignment horizontal="right" vertical="center" wrapText="1"/>
      <protection/>
    </xf>
    <xf numFmtId="3" fontId="68" fillId="0" borderId="126" xfId="28" applyNumberFormat="1" applyFont="1" applyBorder="1" applyAlignment="1">
      <alignment horizontal="right" vertical="center" wrapText="1"/>
      <protection/>
    </xf>
    <xf numFmtId="3" fontId="68" fillId="0" borderId="127" xfId="28" applyNumberFormat="1" applyFont="1" applyBorder="1" applyAlignment="1">
      <alignment horizontal="right" vertical="center" wrapText="1"/>
      <protection/>
    </xf>
    <xf numFmtId="3" fontId="48" fillId="8" borderId="149" xfId="28" applyNumberFormat="1" applyFont="1" applyFill="1" applyBorder="1" applyAlignment="1">
      <alignment horizontal="right" vertical="center" wrapText="1"/>
      <protection/>
    </xf>
    <xf numFmtId="3" fontId="48" fillId="8" borderId="151" xfId="28" applyNumberFormat="1" applyFont="1" applyFill="1" applyBorder="1" applyAlignment="1">
      <alignment horizontal="right" vertical="center" wrapText="1"/>
      <protection/>
    </xf>
    <xf numFmtId="0" fontId="68" fillId="0" borderId="143" xfId="0" applyFont="1" applyBorder="1" applyAlignment="1">
      <alignment vertical="center" wrapText="1"/>
    </xf>
    <xf numFmtId="3" fontId="68" fillId="0" borderId="121" xfId="28" applyNumberFormat="1" applyFont="1" applyBorder="1" applyAlignment="1">
      <alignment horizontal="right" vertical="center" wrapText="1"/>
      <protection/>
    </xf>
    <xf numFmtId="3" fontId="68" fillId="0" borderId="122" xfId="28" applyNumberFormat="1" applyFont="1" applyBorder="1" applyAlignment="1">
      <alignment horizontal="right" vertical="center" wrapText="1"/>
      <protection/>
    </xf>
    <xf numFmtId="0" fontId="68" fillId="0" borderId="120" xfId="0" applyFont="1" applyBorder="1" applyAlignment="1">
      <alignment vertical="center" wrapText="1"/>
    </xf>
    <xf numFmtId="0" fontId="68" fillId="0" borderId="165" xfId="0" applyFont="1" applyBorder="1" applyAlignment="1">
      <alignment vertical="center" wrapText="1"/>
    </xf>
    <xf numFmtId="3" fontId="68" fillId="0" borderId="137" xfId="28" applyNumberFormat="1" applyFont="1" applyBorder="1" applyAlignment="1">
      <alignment horizontal="right" vertical="center" wrapText="1"/>
      <protection/>
    </xf>
    <xf numFmtId="3" fontId="68" fillId="0" borderId="148" xfId="28" applyNumberFormat="1" applyFont="1" applyBorder="1" applyAlignment="1">
      <alignment horizontal="right" vertical="center" wrapText="1"/>
      <protection/>
    </xf>
    <xf numFmtId="0" fontId="68" fillId="0" borderId="168" xfId="28" applyFont="1" applyBorder="1" applyAlignment="1">
      <alignment vertical="center" wrapText="1"/>
      <protection/>
    </xf>
    <xf numFmtId="0" fontId="68" fillId="0" borderId="169" xfId="28" applyFont="1" applyBorder="1" applyAlignment="1">
      <alignment vertical="center" wrapText="1"/>
      <protection/>
    </xf>
    <xf numFmtId="3" fontId="73" fillId="8" borderId="170" xfId="28" applyNumberFormat="1" applyFont="1" applyFill="1" applyBorder="1" applyAlignment="1">
      <alignment horizontal="right" vertical="center" wrapText="1"/>
      <protection/>
    </xf>
    <xf numFmtId="3" fontId="73" fillId="8" borderId="171" xfId="28" applyNumberFormat="1" applyFont="1" applyFill="1" applyBorder="1" applyAlignment="1">
      <alignment horizontal="right" vertical="center" wrapText="1"/>
      <protection/>
    </xf>
    <xf numFmtId="0" fontId="68" fillId="0" borderId="172" xfId="28" applyFont="1" applyBorder="1" applyAlignment="1">
      <alignment vertical="center" wrapText="1"/>
      <protection/>
    </xf>
    <xf numFmtId="0" fontId="68" fillId="0" borderId="173" xfId="28" applyFont="1" applyBorder="1" applyAlignment="1">
      <alignment vertical="center" wrapText="1"/>
      <protection/>
    </xf>
    <xf numFmtId="3" fontId="73" fillId="8" borderId="174" xfId="28" applyNumberFormat="1" applyFont="1" applyFill="1" applyBorder="1" applyAlignment="1">
      <alignment horizontal="right" vertical="center" wrapText="1"/>
      <protection/>
    </xf>
    <xf numFmtId="3" fontId="73" fillId="8" borderId="175" xfId="28" applyNumberFormat="1" applyFont="1" applyFill="1" applyBorder="1" applyAlignment="1">
      <alignment horizontal="right" vertical="center" wrapText="1"/>
      <protection/>
    </xf>
    <xf numFmtId="0" fontId="68" fillId="2" borderId="116" xfId="28" applyFont="1" applyFill="1" applyBorder="1" applyAlignment="1">
      <alignment horizontal="left" vertical="center"/>
      <protection/>
    </xf>
    <xf numFmtId="0" fontId="68" fillId="2" borderId="176" xfId="28" applyFont="1" applyFill="1" applyBorder="1" applyAlignment="1">
      <alignment horizontal="left" vertical="center" wrapText="1"/>
      <protection/>
    </xf>
    <xf numFmtId="3" fontId="68" fillId="2" borderId="117" xfId="28" applyNumberFormat="1" applyFont="1" applyFill="1" applyBorder="1" applyAlignment="1">
      <alignment horizontal="right" vertical="center" wrapText="1"/>
      <protection/>
    </xf>
    <xf numFmtId="3" fontId="68" fillId="2" borderId="118" xfId="28" applyNumberFormat="1" applyFont="1" applyFill="1" applyBorder="1" applyAlignment="1">
      <alignment horizontal="right" vertical="center" wrapText="1"/>
      <protection/>
    </xf>
    <xf numFmtId="0" fontId="48" fillId="2" borderId="0" xfId="28" applyFont="1" applyFill="1" applyAlignment="1">
      <alignment vertical="center" wrapText="1"/>
      <protection/>
    </xf>
    <xf numFmtId="0" fontId="68" fillId="2" borderId="0" xfId="28" applyFont="1" applyFill="1" applyBorder="1" applyAlignment="1">
      <alignment vertical="center" wrapText="1"/>
      <protection/>
    </xf>
    <xf numFmtId="0" fontId="48" fillId="2" borderId="0" xfId="28" applyFont="1" applyFill="1" applyBorder="1" applyAlignment="1">
      <alignment vertical="center" wrapText="1"/>
      <protection/>
    </xf>
    <xf numFmtId="0" fontId="68" fillId="2" borderId="119" xfId="28" applyFont="1" applyFill="1" applyBorder="1" applyAlignment="1">
      <alignment horizontal="left" vertical="center"/>
      <protection/>
    </xf>
    <xf numFmtId="0" fontId="68" fillId="2" borderId="23" xfId="28" applyFont="1" applyFill="1" applyBorder="1" applyAlignment="1">
      <alignment horizontal="left" vertical="center" wrapText="1"/>
      <protection/>
    </xf>
    <xf numFmtId="3" fontId="68" fillId="2" borderId="123" xfId="28" applyNumberFormat="1" applyFont="1" applyFill="1" applyBorder="1" applyAlignment="1">
      <alignment horizontal="right" vertical="center" wrapText="1"/>
      <protection/>
    </xf>
    <xf numFmtId="3" fontId="68" fillId="2" borderId="124" xfId="28" applyNumberFormat="1" applyFont="1" applyFill="1" applyBorder="1" applyAlignment="1">
      <alignment horizontal="right" vertical="center" wrapText="1"/>
      <protection/>
    </xf>
    <xf numFmtId="0" fontId="68" fillId="2" borderId="144" xfId="28" applyFont="1" applyFill="1" applyBorder="1" applyAlignment="1">
      <alignment horizontal="left" vertical="center"/>
      <protection/>
    </xf>
    <xf numFmtId="0" fontId="68" fillId="2" borderId="145" xfId="0" applyFont="1" applyFill="1" applyBorder="1" applyAlignment="1">
      <alignment vertical="center" wrapText="1"/>
    </xf>
    <xf numFmtId="3" fontId="68" fillId="2" borderId="137" xfId="28" applyNumberFormat="1" applyFont="1" applyFill="1" applyBorder="1" applyAlignment="1">
      <alignment horizontal="right" vertical="center" wrapText="1"/>
      <protection/>
    </xf>
    <xf numFmtId="3" fontId="68" fillId="2" borderId="148" xfId="28" applyNumberFormat="1" applyFont="1" applyFill="1" applyBorder="1" applyAlignment="1">
      <alignment horizontal="right" vertical="center" wrapText="1"/>
      <protection/>
    </xf>
    <xf numFmtId="0" fontId="73" fillId="2" borderId="177" xfId="28" applyFont="1" applyFill="1" applyBorder="1" applyAlignment="1">
      <alignment horizontal="left" vertical="center" wrapText="1"/>
      <protection/>
    </xf>
    <xf numFmtId="0" fontId="73" fillId="2" borderId="178" xfId="28" applyFont="1" applyFill="1" applyBorder="1" applyAlignment="1">
      <alignment vertical="center" wrapText="1"/>
      <protection/>
    </xf>
    <xf numFmtId="0" fontId="68" fillId="0" borderId="172" xfId="22" applyNumberFormat="1" applyFont="1" applyBorder="1" applyAlignment="1" applyProtection="1">
      <alignment horizontal="left"/>
      <protection locked="0"/>
    </xf>
    <xf numFmtId="0" fontId="68" fillId="0" borderId="173" xfId="22" applyNumberFormat="1" applyFont="1" applyBorder="1" applyAlignment="1" applyProtection="1">
      <alignment/>
      <protection locked="0"/>
    </xf>
    <xf numFmtId="3" fontId="68" fillId="2" borderId="121" xfId="28" applyNumberFormat="1" applyFont="1" applyFill="1" applyBorder="1" applyAlignment="1">
      <alignment horizontal="right" vertical="center" wrapText="1"/>
      <protection/>
    </xf>
    <xf numFmtId="3" fontId="68" fillId="2" borderId="122" xfId="28" applyNumberFormat="1" applyFont="1" applyFill="1" applyBorder="1" applyAlignment="1">
      <alignment horizontal="right" vertical="center" wrapText="1"/>
      <protection/>
    </xf>
    <xf numFmtId="0" fontId="68" fillId="0" borderId="119" xfId="15" applyNumberFormat="1" applyFont="1" applyFill="1" applyBorder="1" applyAlignment="1" applyProtection="1">
      <alignment horizontal="left"/>
      <protection locked="0"/>
    </xf>
    <xf numFmtId="0" fontId="68" fillId="0" borderId="120" xfId="15" applyNumberFormat="1" applyFont="1" applyFill="1" applyBorder="1" applyAlignment="1" applyProtection="1">
      <alignment/>
      <protection locked="0"/>
    </xf>
    <xf numFmtId="0" fontId="68" fillId="0" borderId="168" xfId="15" applyNumberFormat="1" applyFont="1" applyFill="1" applyBorder="1" applyAlignment="1" applyProtection="1">
      <alignment/>
      <protection locked="0"/>
    </xf>
    <xf numFmtId="0" fontId="68" fillId="0" borderId="169" xfId="15" applyNumberFormat="1" applyFont="1" applyFill="1" applyBorder="1" applyAlignment="1" applyProtection="1">
      <alignment/>
      <protection locked="0"/>
    </xf>
    <xf numFmtId="3" fontId="68" fillId="2" borderId="179" xfId="28" applyNumberFormat="1" applyFont="1" applyFill="1" applyBorder="1" applyAlignment="1">
      <alignment horizontal="right" vertical="center" wrapText="1"/>
      <protection/>
    </xf>
    <xf numFmtId="3" fontId="68" fillId="2" borderId="180" xfId="28" applyNumberFormat="1" applyFont="1" applyFill="1" applyBorder="1" applyAlignment="1">
      <alignment horizontal="right" vertical="center" wrapText="1"/>
      <protection/>
    </xf>
    <xf numFmtId="0" fontId="68" fillId="0" borderId="119" xfId="22" applyNumberFormat="1" applyFont="1" applyBorder="1" applyAlignment="1" applyProtection="1">
      <alignment horizontal="left"/>
      <protection locked="0"/>
    </xf>
    <xf numFmtId="0" fontId="68" fillId="0" borderId="120" xfId="22" applyNumberFormat="1" applyFont="1" applyBorder="1" applyAlignment="1" applyProtection="1">
      <alignment/>
      <protection locked="0"/>
    </xf>
    <xf numFmtId="0" fontId="68" fillId="0" borderId="168" xfId="22" applyNumberFormat="1" applyFont="1" applyBorder="1" applyAlignment="1" applyProtection="1">
      <alignment/>
      <protection locked="0"/>
    </xf>
    <xf numFmtId="0" fontId="68" fillId="0" borderId="169" xfId="22" applyNumberFormat="1" applyFont="1" applyBorder="1" applyAlignment="1" applyProtection="1">
      <alignment/>
      <protection locked="0"/>
    </xf>
    <xf numFmtId="0" fontId="73" fillId="2" borderId="177" xfId="21" applyFont="1" applyFill="1" applyBorder="1" applyAlignment="1">
      <alignment horizontal="left" vertical="center"/>
      <protection/>
    </xf>
    <xf numFmtId="0" fontId="73" fillId="2" borderId="178" xfId="0" applyFont="1" applyFill="1" applyBorder="1" applyAlignment="1">
      <alignment vertical="center" wrapText="1"/>
    </xf>
    <xf numFmtId="0" fontId="68" fillId="2" borderId="172" xfId="21" applyFont="1" applyFill="1" applyBorder="1" applyAlignment="1">
      <alignment horizontal="right" vertical="center"/>
      <protection/>
    </xf>
    <xf numFmtId="0" fontId="68" fillId="2" borderId="173" xfId="0" applyFont="1" applyFill="1" applyBorder="1" applyAlignment="1">
      <alignment horizontal="left" vertical="center" wrapText="1"/>
    </xf>
    <xf numFmtId="0" fontId="68" fillId="2" borderId="119" xfId="21" applyFont="1" applyFill="1" applyBorder="1" applyAlignment="1">
      <alignment horizontal="right" vertical="center"/>
      <protection/>
    </xf>
    <xf numFmtId="0" fontId="68" fillId="2" borderId="120" xfId="0" applyFont="1" applyFill="1" applyBorder="1" applyAlignment="1">
      <alignment horizontal="left" vertical="center" wrapText="1"/>
    </xf>
    <xf numFmtId="0" fontId="68" fillId="2" borderId="168" xfId="21" applyFont="1" applyFill="1" applyBorder="1" applyAlignment="1">
      <alignment horizontal="right" vertical="center"/>
      <protection/>
    </xf>
    <xf numFmtId="0" fontId="68" fillId="2" borderId="169" xfId="0" applyFont="1" applyFill="1" applyBorder="1" applyAlignment="1">
      <alignment horizontal="left" vertical="center" wrapText="1"/>
    </xf>
    <xf numFmtId="3" fontId="68" fillId="2" borderId="181" xfId="28" applyNumberFormat="1" applyFont="1" applyFill="1" applyBorder="1" applyAlignment="1">
      <alignment horizontal="right" vertical="center" wrapText="1"/>
      <protection/>
    </xf>
    <xf numFmtId="3" fontId="68" fillId="2" borderId="182" xfId="28" applyNumberFormat="1" applyFont="1" applyFill="1" applyBorder="1" applyAlignment="1">
      <alignment horizontal="right" vertical="center" wrapText="1"/>
      <protection/>
    </xf>
    <xf numFmtId="0" fontId="73" fillId="2" borderId="183" xfId="28" applyFont="1" applyFill="1" applyBorder="1" applyAlignment="1">
      <alignment vertical="center" wrapText="1"/>
      <protection/>
    </xf>
    <xf numFmtId="0" fontId="68" fillId="2" borderId="172" xfId="28" applyFont="1" applyFill="1" applyBorder="1" applyAlignment="1">
      <alignment horizontal="left" vertical="center" wrapText="1"/>
      <protection/>
    </xf>
    <xf numFmtId="0" fontId="68" fillId="2" borderId="173" xfId="28" applyFont="1" applyFill="1" applyBorder="1" applyAlignment="1">
      <alignment horizontal="left" vertical="center" wrapText="1"/>
      <protection/>
    </xf>
    <xf numFmtId="0" fontId="68" fillId="2" borderId="119" xfId="28" applyFont="1" applyFill="1" applyBorder="1" applyAlignment="1">
      <alignment horizontal="left" vertical="center" wrapText="1"/>
      <protection/>
    </xf>
    <xf numFmtId="0" fontId="68" fillId="2" borderId="120" xfId="28" applyFont="1" applyFill="1" applyBorder="1" applyAlignment="1">
      <alignment horizontal="left" vertical="center" wrapText="1"/>
      <protection/>
    </xf>
    <xf numFmtId="0" fontId="68" fillId="2" borderId="168" xfId="28" applyFont="1" applyFill="1" applyBorder="1" applyAlignment="1">
      <alignment horizontal="left" vertical="center" wrapText="1"/>
      <protection/>
    </xf>
    <xf numFmtId="0" fontId="68" fillId="2" borderId="169" xfId="28" applyFont="1" applyFill="1" applyBorder="1" applyAlignment="1">
      <alignment horizontal="left" vertical="center" wrapText="1"/>
      <protection/>
    </xf>
    <xf numFmtId="0" fontId="73" fillId="2" borderId="184" xfId="28" applyFont="1" applyFill="1" applyBorder="1" applyAlignment="1">
      <alignment horizontal="left" vertical="center" wrapText="1"/>
      <protection/>
    </xf>
    <xf numFmtId="0" fontId="73" fillId="2" borderId="185" xfId="28" applyFont="1" applyFill="1" applyBorder="1" applyAlignment="1">
      <alignment vertical="center" wrapText="1"/>
      <protection/>
    </xf>
    <xf numFmtId="0" fontId="68" fillId="2" borderId="143" xfId="28" applyFont="1" applyFill="1" applyBorder="1" applyAlignment="1">
      <alignment horizontal="left" vertical="center"/>
      <protection/>
    </xf>
    <xf numFmtId="3" fontId="48" fillId="2" borderId="117" xfId="28" applyNumberFormat="1" applyFont="1" applyFill="1" applyBorder="1" applyAlignment="1">
      <alignment horizontal="right" vertical="center" wrapText="1"/>
      <protection/>
    </xf>
    <xf numFmtId="3" fontId="48" fillId="2" borderId="118" xfId="28" applyNumberFormat="1" applyFont="1" applyFill="1" applyBorder="1" applyAlignment="1">
      <alignment horizontal="right" vertical="center" wrapText="1"/>
      <protection/>
    </xf>
    <xf numFmtId="0" fontId="68" fillId="2" borderId="120" xfId="28" applyFont="1" applyFill="1" applyBorder="1" applyAlignment="1">
      <alignment horizontal="left" vertical="center"/>
      <protection/>
    </xf>
    <xf numFmtId="3" fontId="48" fillId="2" borderId="123" xfId="28" applyNumberFormat="1" applyFont="1" applyFill="1" applyBorder="1" applyAlignment="1">
      <alignment horizontal="right" vertical="center" wrapText="1"/>
      <protection/>
    </xf>
    <xf numFmtId="3" fontId="48" fillId="2" borderId="124" xfId="28" applyNumberFormat="1" applyFont="1" applyFill="1" applyBorder="1" applyAlignment="1">
      <alignment horizontal="right" vertical="center" wrapText="1"/>
      <protection/>
    </xf>
    <xf numFmtId="0" fontId="68" fillId="2" borderId="145" xfId="28" applyFont="1" applyFill="1" applyBorder="1" applyAlignment="1">
      <alignment horizontal="left" vertical="center"/>
      <protection/>
    </xf>
    <xf numFmtId="3" fontId="48" fillId="2" borderId="137" xfId="28" applyNumberFormat="1" applyFont="1" applyFill="1" applyBorder="1" applyAlignment="1">
      <alignment horizontal="right" vertical="center" wrapText="1"/>
      <protection/>
    </xf>
    <xf numFmtId="0" fontId="68" fillId="2" borderId="172" xfId="28" applyFont="1" applyFill="1" applyBorder="1" applyAlignment="1">
      <alignment horizontal="left" vertical="center"/>
      <protection/>
    </xf>
    <xf numFmtId="0" fontId="68" fillId="2" borderId="173" xfId="28" applyFont="1" applyFill="1" applyBorder="1" applyAlignment="1">
      <alignment vertical="center" wrapText="1"/>
      <protection/>
    </xf>
    <xf numFmtId="0" fontId="68" fillId="2" borderId="145" xfId="28" applyFont="1" applyFill="1" applyBorder="1" applyAlignment="1">
      <alignment vertical="center" wrapText="1"/>
      <protection/>
    </xf>
    <xf numFmtId="0" fontId="68" fillId="2" borderId="173" xfId="28" applyFont="1" applyFill="1" applyBorder="1" applyAlignment="1">
      <alignment horizontal="left" vertical="center"/>
      <protection/>
    </xf>
    <xf numFmtId="3" fontId="48" fillId="2" borderId="179" xfId="28" applyNumberFormat="1" applyFont="1" applyFill="1" applyBorder="1" applyAlignment="1">
      <alignment horizontal="right" vertical="center" wrapText="1"/>
      <protection/>
    </xf>
    <xf numFmtId="3" fontId="48" fillId="2" borderId="180" xfId="28" applyNumberFormat="1" applyFont="1" applyFill="1" applyBorder="1" applyAlignment="1">
      <alignment horizontal="right" vertical="center" wrapText="1"/>
      <protection/>
    </xf>
    <xf numFmtId="0" fontId="68" fillId="2" borderId="168" xfId="28" applyFont="1" applyFill="1" applyBorder="1" applyAlignment="1">
      <alignment horizontal="left" vertical="center"/>
      <protection/>
    </xf>
    <xf numFmtId="0" fontId="48" fillId="2" borderId="169" xfId="28" applyFont="1" applyFill="1" applyBorder="1" applyAlignment="1">
      <alignment horizontal="left" vertical="center" wrapText="1"/>
      <protection/>
    </xf>
    <xf numFmtId="3" fontId="48" fillId="2" borderId="181" xfId="28" applyNumberFormat="1" applyFont="1" applyFill="1" applyBorder="1" applyAlignment="1">
      <alignment horizontal="right" vertical="center" wrapText="1"/>
      <protection/>
    </xf>
    <xf numFmtId="3" fontId="48" fillId="2" borderId="182" xfId="28" applyNumberFormat="1" applyFont="1" applyFill="1" applyBorder="1" applyAlignment="1">
      <alignment horizontal="right" vertical="center" wrapText="1"/>
      <protection/>
    </xf>
    <xf numFmtId="0" fontId="68" fillId="2" borderId="116" xfId="28" applyFont="1" applyFill="1" applyBorder="1" applyAlignment="1">
      <alignment horizontal="right" vertical="center" wrapText="1"/>
      <protection/>
    </xf>
    <xf numFmtId="0" fontId="68" fillId="2" borderId="143" xfId="28" applyFont="1" applyFill="1" applyBorder="1" applyAlignment="1">
      <alignment horizontal="left" vertical="center" wrapText="1"/>
      <protection/>
    </xf>
    <xf numFmtId="0" fontId="68" fillId="2" borderId="119" xfId="28" applyFont="1" applyFill="1" applyBorder="1" applyAlignment="1">
      <alignment horizontal="right" vertical="center" wrapText="1"/>
      <protection/>
    </xf>
    <xf numFmtId="0" fontId="68" fillId="2" borderId="125" xfId="28" applyFont="1" applyFill="1" applyBorder="1" applyAlignment="1">
      <alignment horizontal="right" vertical="center" wrapText="1"/>
      <protection/>
    </xf>
    <xf numFmtId="0" fontId="68" fillId="2" borderId="165" xfId="28" applyFont="1" applyFill="1" applyBorder="1" applyAlignment="1">
      <alignment horizontal="left" vertical="center" wrapText="1"/>
      <protection/>
    </xf>
    <xf numFmtId="3" fontId="68" fillId="2" borderId="126" xfId="28" applyNumberFormat="1" applyFont="1" applyFill="1" applyBorder="1" applyAlignment="1">
      <alignment horizontal="right" vertical="center" wrapText="1"/>
      <protection/>
    </xf>
    <xf numFmtId="3" fontId="68" fillId="2" borderId="127" xfId="28" applyNumberFormat="1" applyFont="1" applyFill="1" applyBorder="1" applyAlignment="1">
      <alignment horizontal="right" vertical="center" wrapText="1"/>
      <protection/>
    </xf>
    <xf numFmtId="0" fontId="68" fillId="2" borderId="0" xfId="28" applyFont="1" applyFill="1" applyAlignment="1">
      <alignment vertical="center" wrapText="1"/>
      <protection/>
    </xf>
    <xf numFmtId="0" fontId="68" fillId="2" borderId="0" xfId="28" applyFont="1" applyFill="1" applyBorder="1" applyAlignment="1">
      <alignment horizontal="center" vertical="center" wrapText="1"/>
      <protection/>
    </xf>
    <xf numFmtId="0" fontId="0" fillId="0" borderId="143" xfId="0" applyFont="1" applyBorder="1" applyAlignment="1" applyProtection="1">
      <alignment vertical="center" wrapText="1"/>
      <protection locked="0"/>
    </xf>
    <xf numFmtId="0" fontId="0" fillId="0" borderId="165" xfId="0" applyFont="1" applyBorder="1" applyAlignment="1" applyProtection="1">
      <alignment vertical="center" wrapText="1"/>
      <protection locked="0"/>
    </xf>
    <xf numFmtId="0" fontId="0" fillId="0" borderId="120" xfId="0" applyFont="1" applyBorder="1" applyAlignment="1" applyProtection="1">
      <alignment vertical="center" wrapText="1"/>
      <protection locked="0"/>
    </xf>
    <xf numFmtId="0" fontId="48" fillId="0" borderId="76" xfId="28" applyFont="1" applyBorder="1" applyAlignment="1">
      <alignment horizontal="center" vertical="center" wrapText="1"/>
      <protection/>
    </xf>
    <xf numFmtId="0" fontId="48" fillId="0" borderId="78" xfId="28" applyFont="1" applyBorder="1" applyAlignment="1">
      <alignment horizontal="center" vertical="center" wrapText="1"/>
      <protection/>
    </xf>
    <xf numFmtId="3" fontId="53" fillId="8" borderId="149" xfId="28" applyNumberFormat="1" applyFont="1" applyFill="1" applyBorder="1" applyAlignment="1">
      <alignment horizontal="right" vertical="center"/>
      <protection/>
    </xf>
    <xf numFmtId="0" fontId="48" fillId="2" borderId="116" xfId="28" applyFont="1" applyFill="1" applyBorder="1" applyAlignment="1" applyProtection="1">
      <alignment horizontal="centerContinuous" vertical="center" wrapText="1"/>
      <protection/>
    </xf>
    <xf numFmtId="0" fontId="48" fillId="2" borderId="176" xfId="28" applyFont="1" applyFill="1" applyBorder="1" applyAlignment="1" applyProtection="1">
      <alignment horizontal="centerContinuous" vertical="center" wrapText="1"/>
      <protection/>
    </xf>
    <xf numFmtId="0" fontId="48" fillId="2" borderId="143" xfId="28" applyFont="1" applyFill="1" applyBorder="1" applyAlignment="1" applyProtection="1">
      <alignment horizontal="centerContinuous" vertical="center" wrapText="1"/>
      <protection/>
    </xf>
    <xf numFmtId="0" fontId="48" fillId="2" borderId="0" xfId="28" applyFont="1" applyFill="1" applyAlignment="1" applyProtection="1">
      <alignment vertical="center" wrapText="1"/>
      <protection/>
    </xf>
    <xf numFmtId="0" fontId="48" fillId="2" borderId="91" xfId="28" applyFont="1" applyFill="1" applyBorder="1" applyAlignment="1" applyProtection="1">
      <alignment horizontal="center" vertical="center" wrapText="1"/>
      <protection/>
    </xf>
    <xf numFmtId="0" fontId="48" fillId="2" borderId="139" xfId="28" applyFont="1" applyFill="1" applyBorder="1" applyAlignment="1" applyProtection="1">
      <alignment horizontal="center" vertical="center" wrapText="1"/>
      <protection/>
    </xf>
    <xf numFmtId="0" fontId="48" fillId="2" borderId="93" xfId="28" applyFont="1" applyFill="1" applyBorder="1" applyAlignment="1" applyProtection="1">
      <alignment horizontal="center" vertical="center" wrapText="1"/>
      <protection/>
    </xf>
    <xf numFmtId="0" fontId="68" fillId="2" borderId="146" xfId="28" applyFont="1" applyFill="1" applyBorder="1" applyAlignment="1" applyProtection="1">
      <alignment horizontal="right" vertical="center" wrapText="1"/>
      <protection locked="0"/>
    </xf>
    <xf numFmtId="0" fontId="68" fillId="2" borderId="147" xfId="28" applyFont="1" applyFill="1" applyBorder="1" applyAlignment="1" applyProtection="1">
      <alignment horizontal="left" vertical="center" wrapText="1"/>
      <protection locked="0"/>
    </xf>
    <xf numFmtId="0" fontId="68" fillId="2" borderId="0" xfId="28" applyFont="1" applyFill="1" applyAlignment="1" applyProtection="1">
      <alignment vertical="center" wrapText="1"/>
      <protection/>
    </xf>
    <xf numFmtId="0" fontId="68" fillId="2" borderId="119" xfId="28" applyFont="1" applyFill="1" applyBorder="1" applyAlignment="1" applyProtection="1">
      <alignment horizontal="right" vertical="center" wrapText="1"/>
      <protection locked="0"/>
    </xf>
    <xf numFmtId="0" fontId="68" fillId="2" borderId="120" xfId="28" applyFont="1" applyFill="1" applyBorder="1" applyAlignment="1" applyProtection="1">
      <alignment horizontal="left" vertical="center" wrapText="1"/>
      <protection locked="0"/>
    </xf>
    <xf numFmtId="0" fontId="68" fillId="2" borderId="144" xfId="28" applyFont="1" applyFill="1" applyBorder="1" applyAlignment="1" applyProtection="1">
      <alignment horizontal="right" vertical="center" wrapText="1"/>
      <protection locked="0"/>
    </xf>
    <xf numFmtId="0" fontId="68" fillId="2" borderId="145" xfId="28" applyFont="1" applyFill="1" applyBorder="1" applyAlignment="1" applyProtection="1">
      <alignment horizontal="left" vertical="center" wrapText="1"/>
      <protection locked="0"/>
    </xf>
    <xf numFmtId="0" fontId="68" fillId="2" borderId="146" xfId="28" applyFont="1" applyFill="1" applyBorder="1" applyAlignment="1" applyProtection="1">
      <alignment vertical="center" wrapText="1"/>
      <protection locked="0"/>
    </xf>
    <xf numFmtId="0" fontId="68" fillId="2" borderId="147" xfId="28" applyFont="1" applyFill="1" applyBorder="1" applyAlignment="1" applyProtection="1">
      <alignment vertical="center" wrapText="1"/>
      <protection locked="0"/>
    </xf>
    <xf numFmtId="0" fontId="68" fillId="2" borderId="119" xfId="28" applyFont="1" applyFill="1" applyBorder="1" applyAlignment="1" applyProtection="1">
      <alignment vertical="center" wrapText="1"/>
      <protection locked="0"/>
    </xf>
    <xf numFmtId="0" fontId="68" fillId="2" borderId="120" xfId="28" applyFont="1" applyFill="1" applyBorder="1" applyAlignment="1" applyProtection="1">
      <alignment vertical="center" wrapText="1"/>
      <protection locked="0"/>
    </xf>
    <xf numFmtId="0" fontId="68" fillId="2" borderId="144" xfId="28" applyFont="1" applyFill="1" applyBorder="1" applyAlignment="1" applyProtection="1">
      <alignment vertical="center" wrapText="1"/>
      <protection locked="0"/>
    </xf>
    <xf numFmtId="0" fontId="68" fillId="2" borderId="145" xfId="28" applyFont="1" applyFill="1" applyBorder="1" applyAlignment="1" applyProtection="1">
      <alignment vertical="center" wrapText="1"/>
      <protection locked="0"/>
    </xf>
    <xf numFmtId="0" fontId="48" fillId="2" borderId="0" xfId="28" applyFont="1" applyFill="1" applyBorder="1" applyAlignment="1" applyProtection="1">
      <alignment horizontal="left" vertical="center" wrapText="1"/>
      <protection/>
    </xf>
    <xf numFmtId="3" fontId="68" fillId="2" borderId="186" xfId="28" applyNumberFormat="1" applyFont="1" applyFill="1" applyBorder="1" applyAlignment="1" applyProtection="1">
      <alignment horizontal="right" vertical="center"/>
      <protection locked="0"/>
    </xf>
    <xf numFmtId="3" fontId="68" fillId="2" borderId="67" xfId="28" applyNumberFormat="1" applyFont="1" applyFill="1" applyBorder="1" applyAlignment="1" applyProtection="1">
      <alignment horizontal="right" vertical="center"/>
      <protection locked="0"/>
    </xf>
    <xf numFmtId="3" fontId="68" fillId="2" borderId="89" xfId="28" applyNumberFormat="1" applyFont="1" applyFill="1" applyBorder="1" applyAlignment="1" applyProtection="1">
      <alignment horizontal="right" vertical="center"/>
      <protection locked="0"/>
    </xf>
    <xf numFmtId="3" fontId="68" fillId="2" borderId="123" xfId="28" applyNumberFormat="1" applyFont="1" applyFill="1" applyBorder="1" applyAlignment="1" applyProtection="1">
      <alignment horizontal="right" vertical="center"/>
      <protection locked="0"/>
    </xf>
    <xf numFmtId="3" fontId="68" fillId="2" borderId="58" xfId="28" applyNumberFormat="1" applyFont="1" applyFill="1" applyBorder="1" applyAlignment="1" applyProtection="1">
      <alignment horizontal="right" vertical="center"/>
      <protection locked="0"/>
    </xf>
    <xf numFmtId="3" fontId="68" fillId="2" borderId="34" xfId="28" applyNumberFormat="1" applyFont="1" applyFill="1" applyBorder="1" applyAlignment="1" applyProtection="1">
      <alignment horizontal="right" vertical="center"/>
      <protection locked="0"/>
    </xf>
    <xf numFmtId="3" fontId="68" fillId="2" borderId="137" xfId="28" applyNumberFormat="1" applyFont="1" applyFill="1" applyBorder="1" applyAlignment="1" applyProtection="1">
      <alignment horizontal="right" vertical="center"/>
      <protection locked="0"/>
    </xf>
    <xf numFmtId="3" fontId="68" fillId="2" borderId="112" xfId="28" applyNumberFormat="1" applyFont="1" applyFill="1" applyBorder="1" applyAlignment="1" applyProtection="1">
      <alignment horizontal="right" vertical="center"/>
      <protection locked="0"/>
    </xf>
    <xf numFmtId="3" fontId="68" fillId="2" borderId="113" xfId="28" applyNumberFormat="1" applyFont="1" applyFill="1" applyBorder="1" applyAlignment="1" applyProtection="1">
      <alignment horizontal="right" vertical="center"/>
      <protection locked="0"/>
    </xf>
    <xf numFmtId="3" fontId="68" fillId="13" borderId="121" xfId="28" applyNumberFormat="1" applyFont="1" applyFill="1" applyBorder="1" applyAlignment="1" applyProtection="1">
      <alignment horizontal="right" vertical="center"/>
      <protection/>
    </xf>
    <xf numFmtId="3" fontId="68" fillId="13" borderId="108" xfId="28" applyNumberFormat="1" applyFont="1" applyFill="1" applyBorder="1" applyAlignment="1" applyProtection="1">
      <alignment horizontal="right" vertical="center"/>
      <protection/>
    </xf>
    <xf numFmtId="3" fontId="68" fillId="13" borderId="111" xfId="28" applyNumberFormat="1" applyFont="1" applyFill="1" applyBorder="1" applyAlignment="1" applyProtection="1">
      <alignment horizontal="right" vertical="center"/>
      <protection/>
    </xf>
    <xf numFmtId="3" fontId="68" fillId="13" borderId="122" xfId="28" applyNumberFormat="1" applyFont="1" applyFill="1" applyBorder="1" applyAlignment="1" applyProtection="1">
      <alignment horizontal="right" vertical="center"/>
      <protection/>
    </xf>
    <xf numFmtId="3" fontId="68" fillId="13" borderId="123" xfId="28" applyNumberFormat="1" applyFont="1" applyFill="1" applyBorder="1" applyAlignment="1" applyProtection="1">
      <alignment horizontal="right" vertical="center"/>
      <protection/>
    </xf>
    <xf numFmtId="3" fontId="68" fillId="13" borderId="58" xfId="28" applyNumberFormat="1" applyFont="1" applyFill="1" applyBorder="1" applyAlignment="1" applyProtection="1">
      <alignment horizontal="right" vertical="center"/>
      <protection/>
    </xf>
    <xf numFmtId="3" fontId="68" fillId="13" borderId="34" xfId="28" applyNumberFormat="1" applyFont="1" applyFill="1" applyBorder="1" applyAlignment="1" applyProtection="1">
      <alignment horizontal="right" vertical="center"/>
      <protection/>
    </xf>
    <xf numFmtId="3" fontId="68" fillId="13" borderId="124" xfId="28" applyNumberFormat="1" applyFont="1" applyFill="1" applyBorder="1" applyAlignment="1" applyProtection="1">
      <alignment horizontal="right" vertical="center"/>
      <protection/>
    </xf>
    <xf numFmtId="3" fontId="68" fillId="13" borderId="137" xfId="28" applyNumberFormat="1" applyFont="1" applyFill="1" applyBorder="1" applyAlignment="1" applyProtection="1">
      <alignment horizontal="right" vertical="center"/>
      <protection/>
    </xf>
    <xf numFmtId="3" fontId="68" fillId="13" borderId="112" xfId="28" applyNumberFormat="1" applyFont="1" applyFill="1" applyBorder="1" applyAlignment="1" applyProtection="1">
      <alignment horizontal="right" vertical="center"/>
      <protection/>
    </xf>
    <xf numFmtId="3" fontId="68" fillId="13" borderId="113" xfId="28" applyNumberFormat="1" applyFont="1" applyFill="1" applyBorder="1" applyAlignment="1" applyProtection="1">
      <alignment horizontal="right" vertical="center"/>
      <protection/>
    </xf>
    <xf numFmtId="3" fontId="68" fillId="13" borderId="148" xfId="28" applyNumberFormat="1" applyFont="1" applyFill="1" applyBorder="1" applyAlignment="1" applyProtection="1">
      <alignment horizontal="right" vertical="center"/>
      <protection/>
    </xf>
    <xf numFmtId="3" fontId="68" fillId="13" borderId="149" xfId="28" applyNumberFormat="1" applyFont="1" applyFill="1" applyBorder="1" applyAlignment="1" applyProtection="1">
      <alignment horizontal="right" vertical="center"/>
      <protection/>
    </xf>
    <xf numFmtId="3" fontId="68" fillId="13" borderId="150" xfId="28" applyNumberFormat="1" applyFont="1" applyFill="1" applyBorder="1" applyAlignment="1" applyProtection="1">
      <alignment horizontal="right" vertical="center"/>
      <protection/>
    </xf>
    <xf numFmtId="3" fontId="68" fillId="13" borderId="164" xfId="28" applyNumberFormat="1" applyFont="1" applyFill="1" applyBorder="1" applyAlignment="1" applyProtection="1">
      <alignment horizontal="right" vertical="center"/>
      <protection/>
    </xf>
    <xf numFmtId="3" fontId="68" fillId="13" borderId="151" xfId="28" applyNumberFormat="1" applyFont="1" applyFill="1" applyBorder="1" applyAlignment="1" applyProtection="1">
      <alignment horizontal="right" vertical="center"/>
      <protection/>
    </xf>
    <xf numFmtId="3" fontId="68" fillId="2" borderId="0" xfId="28" applyNumberFormat="1" applyFont="1" applyFill="1" applyBorder="1" applyAlignment="1" applyProtection="1">
      <alignment horizontal="right" vertical="center"/>
      <protection/>
    </xf>
    <xf numFmtId="3" fontId="48" fillId="8" borderId="152" xfId="28" applyNumberFormat="1" applyFont="1" applyFill="1" applyBorder="1" applyAlignment="1" applyProtection="1">
      <alignment horizontal="right" vertical="center" wrapText="1"/>
      <protection/>
    </xf>
    <xf numFmtId="3" fontId="48" fillId="8" borderId="150" xfId="28" applyNumberFormat="1" applyFont="1" applyFill="1" applyBorder="1" applyAlignment="1" applyProtection="1">
      <alignment horizontal="right" vertical="center" wrapText="1"/>
      <protection/>
    </xf>
    <xf numFmtId="3" fontId="48" fillId="8" borderId="187" xfId="28" applyNumberFormat="1" applyFont="1" applyFill="1" applyBorder="1" applyAlignment="1" applyProtection="1">
      <alignment horizontal="right" vertical="center" wrapText="1"/>
      <protection/>
    </xf>
    <xf numFmtId="3" fontId="48" fillId="8" borderId="151" xfId="28" applyNumberFormat="1" applyFont="1" applyFill="1" applyBorder="1" applyAlignment="1" applyProtection="1">
      <alignment horizontal="right" vertical="center" wrapText="1"/>
      <protection/>
    </xf>
    <xf numFmtId="3" fontId="68" fillId="8" borderId="88" xfId="28" applyNumberFormat="1" applyFont="1" applyFill="1" applyBorder="1" applyAlignment="1" applyProtection="1">
      <alignment horizontal="right" vertical="center"/>
      <protection/>
    </xf>
    <xf numFmtId="3" fontId="68" fillId="8" borderId="188" xfId="28" applyNumberFormat="1" applyFont="1" applyFill="1" applyBorder="1" applyAlignment="1" applyProtection="1">
      <alignment horizontal="right" vertical="center"/>
      <protection/>
    </xf>
    <xf numFmtId="3" fontId="68" fillId="8" borderId="85" xfId="28" applyNumberFormat="1" applyFont="1" applyFill="1" applyBorder="1" applyAlignment="1" applyProtection="1">
      <alignment horizontal="right" vertical="center"/>
      <protection/>
    </xf>
    <xf numFmtId="3" fontId="68" fillId="8" borderId="120" xfId="28" applyNumberFormat="1" applyFont="1" applyFill="1" applyBorder="1" applyAlignment="1" applyProtection="1">
      <alignment horizontal="right" vertical="center"/>
      <protection/>
    </xf>
    <xf numFmtId="3" fontId="68" fillId="8" borderId="114" xfId="28" applyNumberFormat="1" applyFont="1" applyFill="1" applyBorder="1" applyAlignment="1" applyProtection="1">
      <alignment horizontal="right" vertical="center"/>
      <protection/>
    </xf>
    <xf numFmtId="3" fontId="68" fillId="8" borderId="145" xfId="28" applyNumberFormat="1" applyFont="1" applyFill="1" applyBorder="1" applyAlignment="1" applyProtection="1">
      <alignment horizontal="right" vertical="center"/>
      <protection/>
    </xf>
    <xf numFmtId="3" fontId="68" fillId="8" borderId="189" xfId="28" applyNumberFormat="1" applyFont="1" applyFill="1" applyBorder="1" applyAlignment="1" applyProtection="1">
      <alignment horizontal="right" vertical="center"/>
      <protection/>
    </xf>
    <xf numFmtId="3" fontId="68" fillId="8" borderId="190" xfId="28" applyNumberFormat="1" applyFont="1" applyFill="1" applyBorder="1" applyAlignment="1" applyProtection="1">
      <alignment horizontal="right" vertical="center"/>
      <protection/>
    </xf>
    <xf numFmtId="3" fontId="68" fillId="8" borderId="154" xfId="28" applyNumberFormat="1" applyFont="1" applyFill="1" applyBorder="1" applyAlignment="1" applyProtection="1">
      <alignment horizontal="right" vertical="center"/>
      <protection/>
    </xf>
    <xf numFmtId="3" fontId="68" fillId="8" borderId="147" xfId="28" applyNumberFormat="1" applyFont="1" applyFill="1" applyBorder="1" applyAlignment="1" applyProtection="1">
      <alignment horizontal="right" vertical="center"/>
      <protection/>
    </xf>
    <xf numFmtId="3" fontId="68" fillId="8" borderId="191" xfId="28" applyNumberFormat="1" applyFont="1" applyFill="1" applyBorder="1" applyAlignment="1" applyProtection="1">
      <alignment horizontal="right" vertical="center"/>
      <protection/>
    </xf>
    <xf numFmtId="3" fontId="68" fillId="8" borderId="124" xfId="28" applyNumberFormat="1" applyFont="1" applyFill="1" applyBorder="1" applyAlignment="1" applyProtection="1">
      <alignment horizontal="right" vertical="center"/>
      <protection/>
    </xf>
    <xf numFmtId="3" fontId="68" fillId="8" borderId="148" xfId="28" applyNumberFormat="1" applyFont="1" applyFill="1" applyBorder="1" applyAlignment="1" applyProtection="1">
      <alignment horizontal="right" vertical="center"/>
      <protection/>
    </xf>
    <xf numFmtId="3" fontId="68" fillId="8" borderId="151" xfId="28" applyNumberFormat="1" applyFont="1" applyFill="1" applyBorder="1" applyAlignment="1" applyProtection="1">
      <alignment horizontal="right" vertical="center"/>
      <protection/>
    </xf>
    <xf numFmtId="3" fontId="68" fillId="8" borderId="150" xfId="28" applyNumberFormat="1" applyFont="1" applyFill="1" applyBorder="1" applyAlignment="1" applyProtection="1">
      <alignment horizontal="right" vertical="center" wrapText="1"/>
      <protection/>
    </xf>
    <xf numFmtId="3" fontId="68" fillId="8" borderId="164" xfId="28" applyNumberFormat="1" applyFont="1" applyFill="1" applyBorder="1" applyAlignment="1" applyProtection="1">
      <alignment horizontal="right" vertical="center" wrapText="1"/>
      <protection/>
    </xf>
    <xf numFmtId="3" fontId="68" fillId="8" borderId="149" xfId="28" applyNumberFormat="1" applyFont="1" applyFill="1" applyBorder="1" applyAlignment="1" applyProtection="1">
      <alignment horizontal="right" vertical="center" wrapText="1"/>
      <protection/>
    </xf>
    <xf numFmtId="3" fontId="68" fillId="0" borderId="137" xfId="28" applyNumberFormat="1" applyFont="1" applyFill="1" applyBorder="1" applyAlignment="1" applyProtection="1">
      <alignment horizontal="right" vertical="center"/>
      <protection locked="0"/>
    </xf>
    <xf numFmtId="3" fontId="68" fillId="8" borderId="192" xfId="28" applyNumberFormat="1" applyFont="1" applyFill="1" applyBorder="1" applyAlignment="1" applyProtection="1">
      <alignment horizontal="right" vertical="center"/>
      <protection/>
    </xf>
    <xf numFmtId="3" fontId="68" fillId="8" borderId="160" xfId="28" applyNumberFormat="1" applyFont="1" applyFill="1" applyBorder="1" applyAlignment="1" applyProtection="1">
      <alignment horizontal="right" vertical="center"/>
      <protection/>
    </xf>
    <xf numFmtId="3" fontId="68" fillId="8" borderId="193" xfId="28" applyNumberFormat="1" applyFont="1" applyFill="1" applyBorder="1" applyAlignment="1" applyProtection="1">
      <alignment horizontal="right" vertical="center"/>
      <protection/>
    </xf>
    <xf numFmtId="3" fontId="68" fillId="8" borderId="86" xfId="28" applyNumberFormat="1" applyFont="1" applyFill="1" applyBorder="1" applyAlignment="1" applyProtection="1">
      <alignment horizontal="right" vertical="center"/>
      <protection/>
    </xf>
    <xf numFmtId="3" fontId="68" fillId="8" borderId="194" xfId="28" applyNumberFormat="1" applyFont="1" applyFill="1" applyBorder="1" applyAlignment="1" applyProtection="1">
      <alignment horizontal="right" vertical="center"/>
      <protection/>
    </xf>
    <xf numFmtId="3" fontId="68" fillId="8" borderId="83" xfId="28" applyNumberFormat="1" applyFont="1" applyFill="1" applyBorder="1" applyAlignment="1" applyProtection="1">
      <alignment horizontal="right" vertical="center"/>
      <protection/>
    </xf>
    <xf numFmtId="3" fontId="68" fillId="8" borderId="132" xfId="28" applyNumberFormat="1" applyFont="1" applyFill="1" applyBorder="1" applyAlignment="1" applyProtection="1">
      <alignment horizontal="right" vertical="center"/>
      <protection/>
    </xf>
    <xf numFmtId="3" fontId="68" fillId="8" borderId="162" xfId="28" applyNumberFormat="1" applyFont="1" applyFill="1" applyBorder="1" applyAlignment="1" applyProtection="1">
      <alignment horizontal="right" vertical="center"/>
      <protection/>
    </xf>
    <xf numFmtId="3" fontId="48" fillId="2" borderId="0" xfId="28" applyNumberFormat="1" applyFont="1" applyFill="1" applyBorder="1" applyAlignment="1" applyProtection="1">
      <alignment horizontal="center" vertical="center" wrapText="1"/>
      <protection/>
    </xf>
    <xf numFmtId="3" fontId="68" fillId="2" borderId="0" xfId="28" applyNumberFormat="1" applyFont="1" applyFill="1" applyBorder="1" applyAlignment="1" applyProtection="1">
      <alignment vertical="center" wrapText="1"/>
      <protection/>
    </xf>
    <xf numFmtId="3" fontId="68" fillId="8" borderId="9" xfId="28" applyNumberFormat="1" applyFont="1" applyFill="1" applyBorder="1" applyAlignment="1" applyProtection="1">
      <alignment horizontal="right" vertical="center"/>
      <protection/>
    </xf>
    <xf numFmtId="0" fontId="48" fillId="2" borderId="90" xfId="28" applyFont="1" applyFill="1" applyBorder="1" applyAlignment="1" applyProtection="1">
      <alignment horizontal="center" vertical="center" wrapText="1"/>
      <protection/>
    </xf>
    <xf numFmtId="3" fontId="68" fillId="8" borderId="130" xfId="28" applyNumberFormat="1" applyFont="1" applyFill="1" applyBorder="1" applyAlignment="1" applyProtection="1">
      <alignment horizontal="right" vertical="center"/>
      <protection/>
    </xf>
    <xf numFmtId="3" fontId="68" fillId="8" borderId="0" xfId="28" applyNumberFormat="1" applyFont="1" applyFill="1" applyBorder="1" applyAlignment="1" applyProtection="1">
      <alignment horizontal="right" vertical="center"/>
      <protection/>
    </xf>
    <xf numFmtId="3" fontId="68" fillId="8" borderId="8" xfId="28" applyNumberFormat="1" applyFont="1" applyFill="1" applyBorder="1" applyAlignment="1" applyProtection="1">
      <alignment horizontal="right" vertical="center"/>
      <protection/>
    </xf>
    <xf numFmtId="3" fontId="68" fillId="8" borderId="3" xfId="28" applyNumberFormat="1" applyFont="1" applyFill="1" applyBorder="1" applyAlignment="1" applyProtection="1">
      <alignment horizontal="right" vertical="center"/>
      <protection/>
    </xf>
    <xf numFmtId="0" fontId="48" fillId="2" borderId="76" xfId="28" applyFont="1" applyFill="1" applyBorder="1" applyAlignment="1" applyProtection="1">
      <alignment horizontal="center" vertical="center" wrapText="1"/>
      <protection/>
    </xf>
    <xf numFmtId="3" fontId="68" fillId="8" borderId="195" xfId="28" applyNumberFormat="1" applyFont="1" applyFill="1" applyBorder="1" applyAlignment="1" applyProtection="1">
      <alignment horizontal="right" vertical="center"/>
      <protection/>
    </xf>
    <xf numFmtId="3" fontId="68" fillId="8" borderId="7" xfId="28" applyNumberFormat="1" applyFont="1" applyFill="1" applyBorder="1" applyAlignment="1" applyProtection="1">
      <alignment horizontal="right" vertical="center"/>
      <protection/>
    </xf>
    <xf numFmtId="3" fontId="68" fillId="8" borderId="1" xfId="28" applyNumberFormat="1" applyFont="1" applyFill="1" applyBorder="1" applyAlignment="1" applyProtection="1">
      <alignment horizontal="right" vertical="center"/>
      <protection/>
    </xf>
    <xf numFmtId="3" fontId="68" fillId="0" borderId="9" xfId="28" applyNumberFormat="1" applyFont="1" applyFill="1" applyBorder="1" applyAlignment="1" applyProtection="1">
      <alignment horizontal="right" vertical="center"/>
      <protection/>
    </xf>
    <xf numFmtId="3" fontId="68" fillId="0" borderId="162" xfId="28" applyNumberFormat="1" applyFont="1" applyFill="1" applyBorder="1" applyAlignment="1" applyProtection="1">
      <alignment horizontal="right" vertical="center"/>
      <protection/>
    </xf>
    <xf numFmtId="3" fontId="48" fillId="8" borderId="9" xfId="28" applyNumberFormat="1" applyFont="1" applyFill="1" applyBorder="1" applyAlignment="1" applyProtection="1">
      <alignment horizontal="right" vertical="center"/>
      <protection/>
    </xf>
    <xf numFmtId="3" fontId="48" fillId="8" borderId="162" xfId="28" applyNumberFormat="1" applyFont="1" applyFill="1" applyBorder="1" applyAlignment="1" applyProtection="1">
      <alignment horizontal="right" vertical="center"/>
      <protection/>
    </xf>
    <xf numFmtId="3" fontId="68" fillId="8" borderId="152" xfId="28" applyNumberFormat="1" applyFont="1" applyFill="1" applyBorder="1" applyAlignment="1" applyProtection="1">
      <alignment horizontal="right" vertical="center" wrapText="1"/>
      <protection/>
    </xf>
    <xf numFmtId="0" fontId="74" fillId="8" borderId="16" xfId="28" applyFont="1" applyFill="1" applyBorder="1" applyAlignment="1" applyProtection="1">
      <alignment horizontal="center" vertical="center" wrapText="1"/>
      <protection/>
    </xf>
    <xf numFmtId="0" fontId="68" fillId="6" borderId="196" xfId="28" applyFont="1" applyFill="1" applyBorder="1" applyAlignment="1" applyProtection="1">
      <alignment horizontal="left" vertical="center" wrapText="1"/>
      <protection locked="0"/>
    </xf>
    <xf numFmtId="0" fontId="68" fillId="6" borderId="84" xfId="28" applyFont="1" applyFill="1" applyBorder="1" applyAlignment="1" applyProtection="1">
      <alignment horizontal="left" vertical="center" wrapText="1"/>
      <protection locked="0"/>
    </xf>
    <xf numFmtId="0" fontId="68" fillId="6" borderId="119" xfId="28" applyFont="1" applyFill="1" applyBorder="1" applyAlignment="1" applyProtection="1">
      <alignment horizontal="left" vertical="center" wrapText="1"/>
      <protection locked="0"/>
    </xf>
    <xf numFmtId="0" fontId="68" fillId="6" borderId="82" xfId="28" applyFont="1" applyFill="1" applyBorder="1" applyAlignment="1" applyProtection="1">
      <alignment horizontal="left" vertical="center" wrapText="1"/>
      <protection locked="0"/>
    </xf>
    <xf numFmtId="0" fontId="68" fillId="6" borderId="144" xfId="28" applyFont="1" applyFill="1" applyBorder="1" applyAlignment="1" applyProtection="1">
      <alignment horizontal="left" vertical="center" wrapText="1"/>
      <protection locked="0"/>
    </xf>
    <xf numFmtId="0" fontId="68" fillId="6" borderId="157" xfId="28" applyFont="1" applyFill="1" applyBorder="1" applyAlignment="1" applyProtection="1">
      <alignment horizontal="left" vertical="center" wrapText="1"/>
      <protection locked="0"/>
    </xf>
    <xf numFmtId="0" fontId="68" fillId="6" borderId="146" xfId="28" applyFont="1" applyFill="1" applyBorder="1" applyAlignment="1" applyProtection="1">
      <alignment horizontal="left" vertical="center" wrapText="1"/>
      <protection locked="0"/>
    </xf>
    <xf numFmtId="0" fontId="68" fillId="6" borderId="131" xfId="28" applyFont="1" applyFill="1" applyBorder="1" applyAlignment="1" applyProtection="1">
      <alignment horizontal="left" vertical="center" wrapText="1"/>
      <protection locked="0"/>
    </xf>
    <xf numFmtId="0" fontId="68" fillId="6" borderId="146" xfId="0" applyNumberFormat="1" applyFont="1" applyFill="1" applyBorder="1" applyAlignment="1" applyProtection="1">
      <alignment horizontal="left"/>
      <protection locked="0"/>
    </xf>
    <xf numFmtId="0" fontId="68" fillId="6" borderId="131" xfId="0" applyNumberFormat="1" applyFont="1" applyFill="1" applyBorder="1" applyAlignment="1" applyProtection="1">
      <alignment horizontal="left"/>
      <protection locked="0"/>
    </xf>
    <xf numFmtId="0" fontId="68" fillId="6" borderId="144" xfId="0" applyNumberFormat="1" applyFont="1" applyFill="1" applyBorder="1" applyAlignment="1" applyProtection="1">
      <alignment horizontal="left"/>
      <protection locked="0"/>
    </xf>
    <xf numFmtId="0" fontId="68" fillId="6" borderId="157" xfId="0" applyNumberFormat="1" applyFont="1" applyFill="1" applyBorder="1" applyAlignment="1" applyProtection="1">
      <alignment horizontal="left"/>
      <protection locked="0"/>
    </xf>
    <xf numFmtId="0" fontId="68" fillId="6" borderId="119" xfId="0" applyNumberFormat="1" applyFont="1" applyFill="1" applyBorder="1" applyAlignment="1" applyProtection="1">
      <alignment horizontal="left"/>
      <protection locked="0"/>
    </xf>
    <xf numFmtId="0" fontId="68" fillId="6" borderId="82" xfId="0" applyNumberFormat="1" applyFont="1" applyFill="1" applyBorder="1" applyAlignment="1" applyProtection="1">
      <alignment horizontal="left"/>
      <protection locked="0"/>
    </xf>
    <xf numFmtId="3" fontId="0" fillId="0" borderId="60" xfId="0" applyNumberFormat="1" applyBorder="1" applyAlignment="1" applyProtection="1">
      <alignment vertical="center"/>
      <protection/>
    </xf>
    <xf numFmtId="3" fontId="0" fillId="0" borderId="61" xfId="0" applyNumberFormat="1" applyBorder="1" applyAlignment="1" applyProtection="1">
      <alignment vertical="center"/>
      <protection/>
    </xf>
    <xf numFmtId="3" fontId="0" fillId="0" borderId="70" xfId="0" applyNumberFormat="1" applyBorder="1" applyAlignment="1" applyProtection="1">
      <alignment vertical="center"/>
      <protection/>
    </xf>
    <xf numFmtId="3" fontId="0" fillId="0" borderId="79" xfId="0" applyNumberFormat="1" applyBorder="1" applyAlignment="1" applyProtection="1">
      <alignment vertical="center"/>
      <protection/>
    </xf>
    <xf numFmtId="3" fontId="0" fillId="0" borderId="39" xfId="0" applyNumberFormat="1" applyBorder="1" applyAlignment="1" applyProtection="1">
      <alignment vertical="center"/>
      <protection/>
    </xf>
    <xf numFmtId="3" fontId="0" fillId="0" borderId="41" xfId="0" applyNumberFormat="1" applyBorder="1" applyAlignment="1" applyProtection="1">
      <alignment vertical="center"/>
      <protection/>
    </xf>
    <xf numFmtId="3" fontId="0" fillId="0" borderId="37" xfId="0" applyNumberFormat="1" applyFont="1" applyBorder="1" applyAlignment="1" applyProtection="1">
      <alignment horizontal="right" vertical="center"/>
      <protection/>
    </xf>
    <xf numFmtId="3" fontId="0" fillId="0" borderId="62" xfId="0" applyNumberFormat="1" applyFont="1" applyBorder="1" applyAlignment="1" applyProtection="1">
      <alignment horizontal="right" vertical="center"/>
      <protection/>
    </xf>
    <xf numFmtId="3" fontId="0" fillId="0" borderId="63" xfId="0" applyNumberFormat="1" applyFont="1" applyBorder="1" applyAlignment="1" applyProtection="1">
      <alignment horizontal="right" vertical="center"/>
      <protection/>
    </xf>
    <xf numFmtId="3" fontId="0" fillId="0" borderId="64" xfId="0" applyNumberFormat="1" applyFont="1" applyBorder="1" applyAlignment="1" applyProtection="1">
      <alignment horizontal="right" vertical="center"/>
      <protection/>
    </xf>
    <xf numFmtId="0" fontId="68" fillId="0" borderId="116" xfId="29" applyNumberFormat="1" applyFont="1" applyBorder="1" applyAlignment="1" applyProtection="1">
      <alignment/>
      <protection hidden="1" locked="0"/>
    </xf>
    <xf numFmtId="0" fontId="68" fillId="0" borderId="143" xfId="29" applyNumberFormat="1" applyFont="1" applyBorder="1" applyAlignment="1" applyProtection="1">
      <alignment/>
      <protection hidden="1" locked="0"/>
    </xf>
    <xf numFmtId="3" fontId="68" fillId="0" borderId="117" xfId="29" applyNumberFormat="1" applyFont="1" applyBorder="1" applyAlignment="1" applyProtection="1">
      <alignment/>
      <protection hidden="1" locked="0"/>
    </xf>
    <xf numFmtId="3" fontId="68" fillId="10" borderId="117" xfId="28" applyNumberFormat="1" applyFont="1" applyFill="1" applyBorder="1" applyAlignment="1">
      <alignment vertical="center" wrapText="1"/>
      <protection/>
    </xf>
    <xf numFmtId="3" fontId="68" fillId="10" borderId="135" xfId="28" applyNumberFormat="1" applyFont="1" applyFill="1" applyBorder="1" applyAlignment="1">
      <alignment vertical="center" wrapText="1"/>
      <protection/>
    </xf>
    <xf numFmtId="3" fontId="68" fillId="10" borderId="118" xfId="28" applyNumberFormat="1" applyFont="1" applyFill="1" applyBorder="1" applyAlignment="1">
      <alignment vertical="center" wrapText="1"/>
      <protection/>
    </xf>
    <xf numFmtId="3" fontId="68" fillId="8" borderId="134" xfId="28" applyNumberFormat="1" applyFont="1" applyFill="1" applyBorder="1" applyAlignment="1">
      <alignment vertical="center" wrapText="1"/>
      <protection/>
    </xf>
    <xf numFmtId="3" fontId="0" fillId="0" borderId="72" xfId="0" applyNumberFormat="1" applyBorder="1" applyAlignment="1" applyProtection="1">
      <alignment vertical="center"/>
      <protection/>
    </xf>
    <xf numFmtId="3" fontId="0" fillId="0" borderId="63" xfId="0" applyNumberFormat="1" applyBorder="1" applyAlignment="1" applyProtection="1">
      <alignment vertical="center"/>
      <protection/>
    </xf>
    <xf numFmtId="3" fontId="0" fillId="0" borderId="197" xfId="0" applyNumberFormat="1" applyBorder="1" applyAlignment="1" applyProtection="1">
      <alignment vertical="center"/>
      <protection/>
    </xf>
    <xf numFmtId="3" fontId="0" fillId="0" borderId="64" xfId="0" applyNumberFormat="1" applyBorder="1" applyAlignment="1" applyProtection="1">
      <alignment vertical="center"/>
      <protection/>
    </xf>
    <xf numFmtId="3" fontId="68" fillId="0" borderId="130" xfId="28" applyNumberFormat="1" applyFont="1" applyFill="1" applyBorder="1" applyAlignment="1" applyProtection="1">
      <alignment horizontal="right" vertical="center"/>
      <protection/>
    </xf>
    <xf numFmtId="3" fontId="68" fillId="2" borderId="121" xfId="28" applyNumberFormat="1" applyFont="1" applyFill="1" applyBorder="1" applyAlignment="1" applyProtection="1">
      <alignment horizontal="right" vertical="center"/>
      <protection locked="0"/>
    </xf>
    <xf numFmtId="3" fontId="68" fillId="2" borderId="108" xfId="28" applyNumberFormat="1" applyFont="1" applyFill="1" applyBorder="1" applyAlignment="1" applyProtection="1">
      <alignment horizontal="right" vertical="center"/>
      <protection locked="0"/>
    </xf>
    <xf numFmtId="0" fontId="48" fillId="0" borderId="193" xfId="28" applyFont="1" applyBorder="1" applyAlignment="1">
      <alignment vertical="center" wrapText="1"/>
      <protection/>
    </xf>
    <xf numFmtId="0" fontId="68" fillId="0" borderId="144" xfId="29" applyNumberFormat="1" applyFont="1" applyBorder="1" applyAlignment="1" applyProtection="1">
      <alignment/>
      <protection hidden="1" locked="0"/>
    </xf>
    <xf numFmtId="0" fontId="68" fillId="0" borderId="145" xfId="29" applyNumberFormat="1" applyFont="1" applyBorder="1" applyAlignment="1" applyProtection="1">
      <alignment/>
      <protection hidden="1" locked="0"/>
    </xf>
    <xf numFmtId="3" fontId="68" fillId="0" borderId="137" xfId="29" applyNumberFormat="1" applyFont="1" applyBorder="1" applyAlignment="1" applyProtection="1">
      <alignment/>
      <protection hidden="1" locked="0"/>
    </xf>
    <xf numFmtId="0" fontId="68" fillId="0" borderId="198" xfId="28" applyFont="1" applyBorder="1" applyAlignment="1">
      <alignment vertical="center"/>
      <protection/>
    </xf>
    <xf numFmtId="3" fontId="68" fillId="0" borderId="128" xfId="28" applyNumberFormat="1" applyFont="1" applyBorder="1" applyAlignment="1">
      <alignment vertical="center" wrapText="1"/>
      <protection/>
    </xf>
    <xf numFmtId="3" fontId="68" fillId="0" borderId="39" xfId="28" applyNumberFormat="1" applyFont="1" applyBorder="1" applyAlignment="1">
      <alignment vertical="center" wrapText="1"/>
      <protection/>
    </xf>
    <xf numFmtId="0" fontId="68" fillId="0" borderId="198" xfId="0" applyFont="1" applyBorder="1" applyAlignment="1">
      <alignment vertical="center"/>
    </xf>
    <xf numFmtId="0" fontId="29" fillId="8" borderId="195" xfId="28" applyFont="1" applyFill="1" applyBorder="1" applyAlignment="1">
      <alignment vertical="center" wrapText="1"/>
      <protection/>
    </xf>
    <xf numFmtId="0" fontId="29" fillId="8" borderId="160" xfId="28" applyFont="1" applyFill="1" applyBorder="1" applyAlignment="1">
      <alignment vertical="center" wrapText="1"/>
      <protection/>
    </xf>
    <xf numFmtId="0" fontId="29" fillId="8" borderId="130" xfId="28" applyFont="1" applyFill="1" applyBorder="1" applyAlignment="1">
      <alignment vertical="center" wrapText="1"/>
      <protection/>
    </xf>
    <xf numFmtId="0" fontId="68" fillId="0" borderId="144" xfId="28" applyFont="1" applyBorder="1" applyAlignment="1" applyProtection="1">
      <alignment vertical="center"/>
      <protection locked="0"/>
    </xf>
    <xf numFmtId="0" fontId="68" fillId="6" borderId="144" xfId="28" applyFont="1" applyFill="1" applyBorder="1" applyAlignment="1">
      <alignment vertical="center" wrapText="1"/>
      <protection/>
    </xf>
    <xf numFmtId="0" fontId="68" fillId="6" borderId="143" xfId="28" applyFont="1" applyFill="1" applyBorder="1" applyAlignment="1">
      <alignment horizontal="left" vertical="center" wrapText="1"/>
      <protection/>
    </xf>
    <xf numFmtId="3" fontId="68" fillId="6" borderId="117" xfId="28" applyNumberFormat="1" applyFont="1" applyFill="1" applyBorder="1" applyAlignment="1">
      <alignment horizontal="right" vertical="center"/>
      <protection/>
    </xf>
    <xf numFmtId="3" fontId="68" fillId="6" borderId="118" xfId="28" applyNumberFormat="1" applyFont="1" applyFill="1" applyBorder="1" applyAlignment="1">
      <alignment horizontal="right" vertical="center"/>
      <protection/>
    </xf>
    <xf numFmtId="3" fontId="68" fillId="6" borderId="126" xfId="28" applyNumberFormat="1" applyFont="1" applyFill="1" applyBorder="1" applyAlignment="1">
      <alignment horizontal="right" vertical="center"/>
      <protection/>
    </xf>
    <xf numFmtId="3" fontId="68" fillId="6" borderId="127" xfId="28" applyNumberFormat="1" applyFont="1" applyFill="1" applyBorder="1" applyAlignment="1">
      <alignment horizontal="right" vertical="center"/>
      <protection/>
    </xf>
    <xf numFmtId="3" fontId="68" fillId="6" borderId="116" xfId="28" applyNumberFormat="1" applyFont="1" applyFill="1" applyBorder="1" applyAlignment="1">
      <alignment vertical="center" wrapText="1"/>
      <protection/>
    </xf>
    <xf numFmtId="3" fontId="48" fillId="8" borderId="149" xfId="28" applyNumberFormat="1" applyFont="1" applyFill="1" applyBorder="1" applyAlignment="1">
      <alignment horizontal="right" vertical="center"/>
      <protection/>
    </xf>
    <xf numFmtId="3" fontId="48" fillId="8" borderId="151" xfId="28" applyNumberFormat="1" applyFont="1" applyFill="1" applyBorder="1" applyAlignment="1">
      <alignment horizontal="right" vertical="center"/>
      <protection/>
    </xf>
    <xf numFmtId="0" fontId="68" fillId="2" borderId="120" xfId="28" applyFont="1" applyFill="1" applyBorder="1" applyAlignment="1">
      <alignment vertical="center" wrapText="1"/>
      <protection/>
    </xf>
    <xf numFmtId="3" fontId="53" fillId="8" borderId="151" xfId="28" applyNumberFormat="1" applyFont="1" applyFill="1" applyBorder="1" applyAlignment="1">
      <alignment horizontal="right" vertical="center"/>
      <protection/>
    </xf>
    <xf numFmtId="0" fontId="29" fillId="0" borderId="0" xfId="28" applyFont="1" applyAlignment="1">
      <alignment vertical="center" wrapText="1"/>
      <protection/>
    </xf>
    <xf numFmtId="0" fontId="29" fillId="0" borderId="0" xfId="28" applyFont="1" applyBorder="1" applyAlignment="1">
      <alignment vertical="center" wrapText="1"/>
      <protection/>
    </xf>
    <xf numFmtId="0" fontId="68" fillId="0" borderId="30" xfId="28" applyFont="1" applyBorder="1" applyAlignment="1" applyProtection="1">
      <alignment vertical="center" wrapText="1"/>
      <protection locked="0"/>
    </xf>
    <xf numFmtId="0" fontId="68" fillId="0" borderId="84" xfId="0" applyFont="1" applyBorder="1" applyAlignment="1" applyProtection="1">
      <alignment vertical="center" wrapText="1"/>
      <protection locked="0"/>
    </xf>
    <xf numFmtId="3" fontId="68" fillId="0" borderId="154" xfId="28" applyNumberFormat="1" applyFont="1" applyBorder="1" applyAlignment="1" applyProtection="1">
      <alignment horizontal="right" vertical="center"/>
      <protection locked="0"/>
    </xf>
    <xf numFmtId="3" fontId="68" fillId="0" borderId="109" xfId="28" applyNumberFormat="1" applyFont="1" applyBorder="1" applyAlignment="1" applyProtection="1">
      <alignment horizontal="right" vertical="center"/>
      <protection locked="0"/>
    </xf>
    <xf numFmtId="0" fontId="68" fillId="0" borderId="28" xfId="28" applyFont="1" applyBorder="1" applyAlignment="1" applyProtection="1">
      <alignment vertical="center" wrapText="1"/>
      <protection locked="0"/>
    </xf>
    <xf numFmtId="0" fontId="68" fillId="0" borderId="82" xfId="28" applyFont="1" applyBorder="1" applyAlignment="1" applyProtection="1">
      <alignment vertical="center" wrapText="1"/>
      <protection locked="0"/>
    </xf>
    <xf numFmtId="3" fontId="68" fillId="0" borderId="85" xfId="28" applyNumberFormat="1" applyFont="1" applyBorder="1" applyAlignment="1" applyProtection="1">
      <alignment horizontal="right" vertical="center"/>
      <protection locked="0"/>
    </xf>
    <xf numFmtId="3" fontId="68" fillId="0" borderId="59" xfId="28" applyNumberFormat="1" applyFont="1" applyBorder="1" applyAlignment="1" applyProtection="1">
      <alignment horizontal="right" vertical="center"/>
      <protection locked="0"/>
    </xf>
    <xf numFmtId="0" fontId="68" fillId="0" borderId="29" xfId="28" applyFont="1" applyBorder="1" applyAlignment="1" applyProtection="1">
      <alignment vertical="center" wrapText="1"/>
      <protection locked="0"/>
    </xf>
    <xf numFmtId="0" fontId="68" fillId="0" borderId="93" xfId="0" applyFont="1" applyBorder="1" applyAlignment="1" applyProtection="1">
      <alignment vertical="center" wrapText="1"/>
      <protection locked="0"/>
    </xf>
    <xf numFmtId="3" fontId="68" fillId="0" borderId="91" xfId="28" applyNumberFormat="1" applyFont="1" applyBorder="1" applyAlignment="1" applyProtection="1">
      <alignment horizontal="right" vertical="center"/>
      <protection locked="0"/>
    </xf>
    <xf numFmtId="3" fontId="68" fillId="0" borderId="78" xfId="28" applyNumberFormat="1" applyFont="1" applyBorder="1" applyAlignment="1" applyProtection="1">
      <alignment horizontal="right" vertical="center"/>
      <protection locked="0"/>
    </xf>
    <xf numFmtId="3" fontId="48" fillId="8" borderId="132" xfId="28" applyNumberFormat="1" applyFont="1" applyFill="1" applyBorder="1" applyAlignment="1">
      <alignment horizontal="right" vertical="center"/>
      <protection/>
    </xf>
    <xf numFmtId="3" fontId="48" fillId="8" borderId="11" xfId="28" applyNumberFormat="1" applyFont="1" applyFill="1" applyBorder="1" applyAlignment="1">
      <alignment horizontal="right" vertical="center"/>
      <protection/>
    </xf>
    <xf numFmtId="0" fontId="68" fillId="0" borderId="156" xfId="28" applyFont="1" applyBorder="1" applyAlignment="1" applyProtection="1">
      <alignment vertical="center" wrapText="1"/>
      <protection locked="0"/>
    </xf>
    <xf numFmtId="0" fontId="68" fillId="0" borderId="131" xfId="0" applyFont="1" applyBorder="1" applyAlignment="1" applyProtection="1">
      <alignment vertical="center" wrapText="1"/>
      <protection locked="0"/>
    </xf>
    <xf numFmtId="0" fontId="68" fillId="0" borderId="82" xfId="0" applyFont="1" applyBorder="1" applyAlignment="1" applyProtection="1">
      <alignment vertical="center" wrapText="1"/>
      <protection locked="0"/>
    </xf>
    <xf numFmtId="3" fontId="48" fillId="8" borderId="199" xfId="28" applyNumberFormat="1" applyFont="1" applyFill="1" applyBorder="1" applyAlignment="1">
      <alignment horizontal="right" vertical="center"/>
      <protection/>
    </xf>
    <xf numFmtId="3" fontId="48" fillId="8" borderId="161" xfId="28" applyNumberFormat="1" applyFont="1" applyFill="1" applyBorder="1" applyAlignment="1">
      <alignment horizontal="right" vertical="center"/>
      <protection/>
    </xf>
    <xf numFmtId="3" fontId="48" fillId="8" borderId="187" xfId="28" applyNumberFormat="1" applyFont="1" applyFill="1" applyBorder="1" applyAlignment="1">
      <alignment horizontal="right" vertical="center"/>
      <protection/>
    </xf>
    <xf numFmtId="0" fontId="68" fillId="0" borderId="156" xfId="28" applyFont="1" applyBorder="1" applyAlignment="1" applyProtection="1">
      <alignment horizontal="right" vertical="center" wrapText="1"/>
      <protection locked="0"/>
    </xf>
    <xf numFmtId="0" fontId="68" fillId="0" borderId="131" xfId="0" applyFont="1" applyBorder="1" applyAlignment="1" applyProtection="1">
      <alignment horizontal="left" vertical="center" wrapText="1"/>
      <protection locked="0"/>
    </xf>
    <xf numFmtId="0" fontId="68" fillId="0" borderId="28" xfId="28" applyFont="1" applyBorder="1" applyAlignment="1" applyProtection="1">
      <alignment horizontal="right" vertical="center" wrapText="1"/>
      <protection locked="0"/>
    </xf>
    <xf numFmtId="0" fontId="68" fillId="0" borderId="82" xfId="28" applyFont="1" applyBorder="1" applyAlignment="1" applyProtection="1">
      <alignment horizontal="left" vertical="center" wrapText="1"/>
      <protection locked="0"/>
    </xf>
    <xf numFmtId="0" fontId="68" fillId="0" borderId="29" xfId="28" applyFont="1" applyBorder="1" applyAlignment="1" applyProtection="1">
      <alignment horizontal="right" vertical="center" wrapText="1"/>
      <protection locked="0"/>
    </xf>
    <xf numFmtId="0" fontId="68" fillId="0" borderId="93" xfId="0" applyFont="1" applyBorder="1" applyAlignment="1" applyProtection="1">
      <alignment horizontal="left" vertical="center" wrapText="1"/>
      <protection locked="0"/>
    </xf>
    <xf numFmtId="0" fontId="68" fillId="0" borderId="82" xfId="0" applyFont="1" applyBorder="1" applyAlignment="1" applyProtection="1">
      <alignment horizontal="left" vertical="center" wrapText="1"/>
      <protection locked="0"/>
    </xf>
    <xf numFmtId="0" fontId="28" fillId="5" borderId="58" xfId="26" applyFont="1" applyFill="1" applyBorder="1" applyAlignment="1">
      <alignment horizontal="center" vertical="center"/>
      <protection/>
    </xf>
    <xf numFmtId="0" fontId="48" fillId="0" borderId="59" xfId="28" applyFont="1" applyBorder="1" applyAlignment="1">
      <alignment horizontal="center" vertical="center" wrapText="1"/>
      <protection/>
    </xf>
    <xf numFmtId="3" fontId="68" fillId="8" borderId="59" xfId="28" applyNumberFormat="1" applyFont="1" applyFill="1" applyBorder="1" applyAlignment="1">
      <alignment vertical="center" wrapText="1"/>
      <protection/>
    </xf>
    <xf numFmtId="3" fontId="68" fillId="8" borderId="91" xfId="28" applyNumberFormat="1" applyFont="1" applyFill="1" applyBorder="1" applyAlignment="1">
      <alignment vertical="center" wrapText="1"/>
      <protection/>
    </xf>
    <xf numFmtId="3" fontId="68" fillId="8" borderId="77" xfId="28" applyNumberFormat="1" applyFont="1" applyFill="1" applyBorder="1" applyAlignment="1">
      <alignment vertical="center" wrapText="1"/>
      <protection/>
    </xf>
    <xf numFmtId="3" fontId="68" fillId="8" borderId="78" xfId="28" applyNumberFormat="1" applyFont="1" applyFill="1" applyBorder="1" applyAlignment="1">
      <alignment vertical="center" wrapText="1"/>
      <protection/>
    </xf>
    <xf numFmtId="0" fontId="48" fillId="0" borderId="85" xfId="28" applyFont="1" applyBorder="1" applyAlignment="1">
      <alignment horizontal="center" vertical="center" wrapText="1"/>
      <protection/>
    </xf>
    <xf numFmtId="0" fontId="48" fillId="0" borderId="31" xfId="28" applyFont="1" applyBorder="1" applyAlignment="1">
      <alignment vertical="center"/>
      <protection/>
    </xf>
    <xf numFmtId="0" fontId="48" fillId="0" borderId="31" xfId="28" applyFont="1" applyBorder="1" applyAlignment="1">
      <alignment vertical="center" wrapText="1"/>
      <protection/>
    </xf>
    <xf numFmtId="0" fontId="48" fillId="6" borderId="31" xfId="28" applyFont="1" applyFill="1" applyBorder="1" applyAlignment="1">
      <alignment horizontal="left" vertical="center"/>
      <protection/>
    </xf>
    <xf numFmtId="0" fontId="48" fillId="6" borderId="31" xfId="28" applyFont="1" applyFill="1" applyBorder="1" applyAlignment="1">
      <alignment horizontal="left" vertical="center" wrapText="1"/>
      <protection/>
    </xf>
    <xf numFmtId="0" fontId="48" fillId="6" borderId="31" xfId="28" applyFont="1" applyFill="1" applyBorder="1" applyAlignment="1">
      <alignment vertical="center" wrapText="1"/>
      <protection/>
    </xf>
    <xf numFmtId="0" fontId="48" fillId="0" borderId="56" xfId="28" applyFont="1" applyBorder="1" applyAlignment="1">
      <alignment vertical="center" wrapText="1"/>
      <protection/>
    </xf>
    <xf numFmtId="0" fontId="40" fillId="6" borderId="0" xfId="25" applyNumberFormat="1" applyFont="1" applyFill="1" applyAlignment="1">
      <alignment horizontal="centerContinuous" vertical="center"/>
      <protection/>
    </xf>
    <xf numFmtId="0" fontId="41" fillId="6" borderId="0" xfId="26" applyFont="1" applyFill="1" applyAlignment="1">
      <alignment horizontal="centerContinuous" vertical="center"/>
      <protection/>
    </xf>
    <xf numFmtId="0" fontId="40" fillId="6" borderId="0" xfId="0" applyNumberFormat="1" applyFont="1" applyFill="1" applyBorder="1" applyAlignment="1">
      <alignment horizontal="centerContinuous" vertical="center"/>
    </xf>
    <xf numFmtId="0" fontId="29" fillId="6" borderId="0" xfId="26" applyFont="1" applyFill="1" applyAlignment="1">
      <alignment horizontal="centerContinuous"/>
      <protection/>
    </xf>
    <xf numFmtId="0" fontId="47" fillId="6" borderId="0" xfId="0" applyFont="1" applyFill="1" applyAlignment="1">
      <alignment horizontal="centerContinuous" vertical="center"/>
    </xf>
    <xf numFmtId="0" fontId="29" fillId="6" borderId="0" xfId="26" applyFont="1" applyFill="1" applyAlignment="1">
      <alignment horizontal="centerContinuous" vertical="center"/>
      <protection/>
    </xf>
    <xf numFmtId="0" fontId="39" fillId="6" borderId="0" xfId="0" applyNumberFormat="1" applyFont="1" applyFill="1" applyBorder="1" applyAlignment="1">
      <alignment horizontal="centerContinuous" vertical="center"/>
    </xf>
    <xf numFmtId="0" fontId="42" fillId="6" borderId="0" xfId="0" applyFont="1" applyFill="1" applyAlignment="1">
      <alignment/>
    </xf>
    <xf numFmtId="0" fontId="39" fillId="6" borderId="0" xfId="0" applyNumberFormat="1" applyFont="1" applyFill="1" applyBorder="1" applyAlignment="1">
      <alignment horizontal="centerContinuous"/>
    </xf>
    <xf numFmtId="0" fontId="64" fillId="6" borderId="0" xfId="26" applyFont="1" applyFill="1" applyAlignment="1">
      <alignment horizontal="centerContinuous"/>
      <protection/>
    </xf>
    <xf numFmtId="0" fontId="38" fillId="6" borderId="0" xfId="26" applyFont="1" applyFill="1" applyAlignment="1">
      <alignment horizontal="centerContinuous"/>
      <protection/>
    </xf>
    <xf numFmtId="0" fontId="46" fillId="6" borderId="0" xfId="26" applyFont="1" applyFill="1">
      <alignment/>
      <protection/>
    </xf>
    <xf numFmtId="0" fontId="29" fillId="6" borderId="0" xfId="26" applyFont="1" applyFill="1" applyAlignment="1">
      <alignment wrapText="1"/>
      <protection/>
    </xf>
    <xf numFmtId="0" fontId="66" fillId="6" borderId="0" xfId="26" applyFont="1" applyFill="1">
      <alignment/>
      <protection/>
    </xf>
    <xf numFmtId="0" fontId="29" fillId="6" borderId="23" xfId="26" applyFont="1" applyFill="1" applyBorder="1" applyAlignment="1" applyProtection="1">
      <alignment horizontal="left" vertical="center"/>
      <protection/>
    </xf>
    <xf numFmtId="0" fontId="29" fillId="6" borderId="82" xfId="26" applyFont="1" applyFill="1" applyBorder="1" applyAlignment="1" applyProtection="1">
      <alignment horizontal="left" vertical="center"/>
      <protection/>
    </xf>
    <xf numFmtId="0" fontId="29" fillId="6" borderId="0" xfId="26" applyFont="1" applyFill="1" applyProtection="1">
      <alignment/>
      <protection locked="0"/>
    </xf>
    <xf numFmtId="0" fontId="28" fillId="6" borderId="0" xfId="26" applyFont="1" applyFill="1" applyAlignment="1">
      <alignment vertical="center"/>
      <protection/>
    </xf>
    <xf numFmtId="0" fontId="29" fillId="6" borderId="0" xfId="26" applyFont="1" applyFill="1" applyAlignment="1">
      <alignment vertical="center"/>
      <protection/>
    </xf>
    <xf numFmtId="0" fontId="29" fillId="6" borderId="0" xfId="26" applyFont="1" applyFill="1" applyAlignment="1" applyProtection="1">
      <alignment/>
      <protection locked="0"/>
    </xf>
    <xf numFmtId="0" fontId="29" fillId="6" borderId="0" xfId="26" applyFont="1" applyFill="1" applyAlignment="1">
      <alignment/>
      <protection/>
    </xf>
    <xf numFmtId="0" fontId="28" fillId="6" borderId="0" xfId="26" applyFont="1" applyFill="1">
      <alignment/>
      <protection/>
    </xf>
    <xf numFmtId="0" fontId="46" fillId="0" borderId="0" xfId="26" applyFont="1" applyFill="1">
      <alignment/>
      <protection/>
    </xf>
    <xf numFmtId="0" fontId="57" fillId="0" borderId="0" xfId="26" applyFont="1" applyFill="1">
      <alignment/>
      <protection/>
    </xf>
    <xf numFmtId="0" fontId="57" fillId="0" borderId="0" xfId="26" applyFont="1" applyAlignment="1">
      <alignment wrapText="1"/>
      <protection/>
    </xf>
    <xf numFmtId="0" fontId="46" fillId="8" borderId="58" xfId="26" applyFont="1" applyFill="1" applyBorder="1" applyAlignment="1">
      <alignment horizontal="center" vertical="center" wrapText="1"/>
      <protection/>
    </xf>
    <xf numFmtId="0" fontId="46" fillId="8" borderId="30" xfId="26" applyFont="1" applyFill="1" applyBorder="1" applyAlignment="1">
      <alignment vertical="center"/>
      <protection/>
    </xf>
    <xf numFmtId="0" fontId="46" fillId="8" borderId="89" xfId="26" applyFont="1" applyFill="1" applyBorder="1" applyAlignment="1">
      <alignment vertical="center"/>
      <protection/>
    </xf>
    <xf numFmtId="0" fontId="46" fillId="8" borderId="87" xfId="26" applyFont="1" applyFill="1" applyBorder="1" applyAlignment="1">
      <alignment vertical="center"/>
      <protection/>
    </xf>
    <xf numFmtId="0" fontId="46" fillId="8" borderId="84" xfId="26" applyFont="1" applyFill="1" applyBorder="1" applyAlignment="1">
      <alignment vertical="center"/>
      <protection/>
    </xf>
    <xf numFmtId="0" fontId="46" fillId="8" borderId="59" xfId="26" applyFont="1" applyFill="1" applyBorder="1" applyAlignment="1">
      <alignment horizontal="center" vertical="center" wrapText="1"/>
      <protection/>
    </xf>
    <xf numFmtId="0" fontId="57" fillId="8" borderId="87" xfId="26" applyFont="1" applyFill="1" applyBorder="1">
      <alignment/>
      <protection/>
    </xf>
    <xf numFmtId="0" fontId="57" fillId="8" borderId="88" xfId="26" applyFont="1" applyFill="1" applyBorder="1">
      <alignment/>
      <protection/>
    </xf>
    <xf numFmtId="0" fontId="68" fillId="0" borderId="71" xfId="26" applyFont="1" applyBorder="1">
      <alignment/>
      <protection/>
    </xf>
    <xf numFmtId="3" fontId="68" fillId="0" borderId="58" xfId="26" applyNumberFormat="1" applyFont="1" applyBorder="1">
      <alignment/>
      <protection/>
    </xf>
    <xf numFmtId="3" fontId="68" fillId="0" borderId="59" xfId="26" applyNumberFormat="1" applyFont="1" applyBorder="1">
      <alignment/>
      <protection/>
    </xf>
    <xf numFmtId="0" fontId="68" fillId="0" borderId="76" xfId="26" applyFont="1" applyBorder="1">
      <alignment/>
      <protection/>
    </xf>
    <xf numFmtId="3" fontId="68" fillId="0" borderId="77" xfId="26" applyNumberFormat="1" applyFont="1" applyBorder="1">
      <alignment/>
      <protection/>
    </xf>
    <xf numFmtId="3" fontId="68" fillId="0" borderId="78" xfId="26" applyNumberFormat="1" applyFont="1" applyBorder="1">
      <alignment/>
      <protection/>
    </xf>
    <xf numFmtId="3" fontId="29" fillId="8" borderId="200" xfId="26" applyNumberFormat="1" applyFont="1" applyFill="1" applyBorder="1" applyAlignment="1">
      <alignment horizontal="right" vertical="center"/>
      <protection/>
    </xf>
    <xf numFmtId="3" fontId="29" fillId="8" borderId="201" xfId="26" applyNumberFormat="1" applyFont="1" applyFill="1" applyBorder="1" applyAlignment="1">
      <alignment horizontal="right" vertical="center"/>
      <protection/>
    </xf>
    <xf numFmtId="0" fontId="28" fillId="8" borderId="202" xfId="26" applyFont="1" applyFill="1" applyBorder="1" applyAlignment="1">
      <alignment vertical="center"/>
      <protection/>
    </xf>
    <xf numFmtId="3" fontId="29" fillId="8" borderId="124" xfId="26" applyNumberFormat="1" applyFont="1" applyFill="1" applyBorder="1" applyAlignment="1">
      <alignment horizontal="right" vertical="center"/>
      <protection/>
    </xf>
    <xf numFmtId="0" fontId="28" fillId="8" borderId="10" xfId="26" applyFont="1" applyFill="1" applyBorder="1" applyAlignment="1">
      <alignment vertical="center"/>
      <protection/>
    </xf>
    <xf numFmtId="3" fontId="28" fillId="8" borderId="10" xfId="26" applyNumberFormat="1" applyFont="1" applyFill="1" applyBorder="1" applyAlignment="1">
      <alignment horizontal="right" vertical="center"/>
      <protection/>
    </xf>
    <xf numFmtId="3" fontId="28" fillId="8" borderId="9" xfId="26" applyNumberFormat="1" applyFont="1" applyFill="1" applyBorder="1" applyAlignment="1">
      <alignment horizontal="right" vertical="center"/>
      <protection/>
    </xf>
    <xf numFmtId="3" fontId="28" fillId="8" borderId="33" xfId="26" applyNumberFormat="1" applyFont="1" applyFill="1" applyBorder="1" applyAlignment="1">
      <alignment horizontal="right" vertical="center"/>
      <protection/>
    </xf>
    <xf numFmtId="3" fontId="28" fillId="8" borderId="109" xfId="26" applyNumberFormat="1" applyFont="1" applyFill="1" applyBorder="1" applyAlignment="1">
      <alignment horizontal="right" vertical="center"/>
      <protection/>
    </xf>
    <xf numFmtId="3" fontId="28" fillId="8" borderId="59" xfId="26" applyNumberFormat="1" applyFont="1" applyFill="1" applyBorder="1" applyAlignment="1">
      <alignment horizontal="right" vertical="center"/>
      <protection/>
    </xf>
    <xf numFmtId="3" fontId="28" fillId="8" borderId="115" xfId="26" applyNumberFormat="1" applyFont="1" applyFill="1" applyBorder="1" applyAlignment="1">
      <alignment horizontal="right" vertical="center"/>
      <protection/>
    </xf>
    <xf numFmtId="3" fontId="28" fillId="8" borderId="78" xfId="26" applyNumberFormat="1" applyFont="1" applyFill="1" applyBorder="1" applyAlignment="1">
      <alignment horizontal="right" vertical="center"/>
      <protection/>
    </xf>
    <xf numFmtId="3" fontId="28" fillId="8" borderId="203" xfId="26" applyNumberFormat="1" applyFont="1" applyFill="1" applyBorder="1" applyAlignment="1">
      <alignment horizontal="right" vertical="center"/>
      <protection/>
    </xf>
    <xf numFmtId="3" fontId="28" fillId="8" borderId="204" xfId="26" applyNumberFormat="1" applyFont="1" applyFill="1" applyBorder="1" applyAlignment="1">
      <alignment horizontal="right" vertical="center"/>
      <protection/>
    </xf>
    <xf numFmtId="3" fontId="28" fillId="8" borderId="205" xfId="26" applyNumberFormat="1" applyFont="1" applyFill="1" applyBorder="1" applyAlignment="1">
      <alignment horizontal="right" vertical="center"/>
      <protection/>
    </xf>
    <xf numFmtId="3" fontId="28" fillId="8" borderId="206" xfId="26" applyNumberFormat="1" applyFont="1" applyFill="1" applyBorder="1" applyAlignment="1">
      <alignment horizontal="right" vertical="center"/>
      <protection/>
    </xf>
    <xf numFmtId="3" fontId="28" fillId="8" borderId="207" xfId="26" applyNumberFormat="1" applyFont="1" applyFill="1" applyBorder="1" applyAlignment="1">
      <alignment horizontal="right" vertical="center"/>
      <protection/>
    </xf>
    <xf numFmtId="3" fontId="28" fillId="8" borderId="89" xfId="26" applyNumberFormat="1" applyFont="1" applyFill="1" applyBorder="1" applyAlignment="1">
      <alignment horizontal="right" vertical="center"/>
      <protection/>
    </xf>
    <xf numFmtId="3" fontId="28" fillId="8" borderId="34" xfId="26" applyNumberFormat="1" applyFont="1" applyFill="1" applyBorder="1" applyAlignment="1">
      <alignment horizontal="right" vertical="center"/>
      <protection/>
    </xf>
    <xf numFmtId="3" fontId="28" fillId="8" borderId="92" xfId="26" applyNumberFormat="1" applyFont="1" applyFill="1" applyBorder="1" applyAlignment="1">
      <alignment horizontal="right" vertical="center"/>
      <protection/>
    </xf>
    <xf numFmtId="3" fontId="0" fillId="0" borderId="60" xfId="0" applyNumberFormat="1" applyBorder="1" applyAlignment="1" applyProtection="1">
      <alignment horizontal="right" vertical="center"/>
      <protection/>
    </xf>
    <xf numFmtId="3" fontId="0" fillId="0" borderId="39" xfId="0" applyNumberFormat="1" applyBorder="1" applyAlignment="1" applyProtection="1">
      <alignment horizontal="right" vertical="center"/>
      <protection/>
    </xf>
    <xf numFmtId="3" fontId="0" fillId="0" borderId="72" xfId="0" applyNumberFormat="1" applyBorder="1" applyAlignment="1" applyProtection="1">
      <alignment horizontal="right" vertical="center"/>
      <protection/>
    </xf>
    <xf numFmtId="3" fontId="0" fillId="0" borderId="37" xfId="0" applyNumberFormat="1" applyBorder="1" applyAlignment="1" applyProtection="1">
      <alignment horizontal="right" vertical="center"/>
      <protection/>
    </xf>
    <xf numFmtId="3" fontId="0" fillId="0" borderId="62" xfId="0" applyNumberFormat="1" applyBorder="1" applyAlignment="1" applyProtection="1">
      <alignment vertical="center"/>
      <protection/>
    </xf>
    <xf numFmtId="3" fontId="0" fillId="0" borderId="63" xfId="0" applyNumberFormat="1" applyBorder="1" applyAlignment="1" applyProtection="1">
      <alignment horizontal="right" vertical="center"/>
      <protection/>
    </xf>
    <xf numFmtId="0" fontId="28" fillId="5" borderId="58" xfId="26" applyFont="1" applyFill="1" applyBorder="1" applyAlignment="1">
      <alignment horizontal="center"/>
      <protection/>
    </xf>
    <xf numFmtId="0" fontId="48" fillId="2" borderId="158"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65" xfId="0" applyFont="1" applyFill="1" applyBorder="1" applyAlignment="1">
      <alignment horizontal="center" vertical="center" wrapText="1"/>
    </xf>
    <xf numFmtId="0" fontId="48" fillId="2" borderId="83" xfId="0" applyFont="1" applyFill="1" applyBorder="1" applyAlignment="1">
      <alignment horizontal="center" vertical="center" wrapText="1"/>
    </xf>
    <xf numFmtId="3" fontId="68" fillId="8" borderId="113" xfId="28" applyNumberFormat="1" applyFont="1" applyFill="1" applyBorder="1" applyAlignment="1">
      <alignment vertical="center" wrapText="1"/>
      <protection/>
    </xf>
    <xf numFmtId="0" fontId="68" fillId="8" borderId="195" xfId="28" applyFont="1" applyFill="1" applyBorder="1" applyAlignment="1">
      <alignment vertical="center" wrapText="1"/>
      <protection/>
    </xf>
    <xf numFmtId="0" fontId="68" fillId="8" borderId="160" xfId="28" applyFont="1" applyFill="1" applyBorder="1" applyAlignment="1">
      <alignment vertical="center" wrapText="1"/>
      <protection/>
    </xf>
    <xf numFmtId="0" fontId="68" fillId="8" borderId="130" xfId="28" applyFont="1" applyFill="1" applyBorder="1" applyAlignment="1">
      <alignment vertical="center" wrapText="1"/>
      <protection/>
    </xf>
    <xf numFmtId="0" fontId="68" fillId="8" borderId="7" xfId="28" applyFont="1" applyFill="1" applyBorder="1" applyAlignment="1">
      <alignment vertical="center" wrapText="1"/>
      <protection/>
    </xf>
    <xf numFmtId="0" fontId="68" fillId="8" borderId="86" xfId="28" applyFont="1" applyFill="1" applyBorder="1" applyAlignment="1">
      <alignment vertical="center" wrapText="1"/>
      <protection/>
    </xf>
    <xf numFmtId="0" fontId="68" fillId="8" borderId="0" xfId="28" applyFont="1" applyFill="1" applyBorder="1" applyAlignment="1">
      <alignment vertical="center" wrapText="1"/>
      <protection/>
    </xf>
    <xf numFmtId="0" fontId="68" fillId="8" borderId="1" xfId="28" applyFont="1" applyFill="1" applyBorder="1" applyAlignment="1">
      <alignment vertical="center" wrapText="1"/>
      <protection/>
    </xf>
    <xf numFmtId="0" fontId="68" fillId="8" borderId="83" xfId="28" applyFont="1" applyFill="1" applyBorder="1" applyAlignment="1">
      <alignment vertical="center" wrapText="1"/>
      <protection/>
    </xf>
    <xf numFmtId="0" fontId="68" fillId="8" borderId="8" xfId="28" applyFont="1" applyFill="1" applyBorder="1" applyAlignment="1">
      <alignment vertical="center" wrapText="1"/>
      <protection/>
    </xf>
    <xf numFmtId="0" fontId="74" fillId="8" borderId="6" xfId="28" applyFont="1" applyFill="1" applyBorder="1" applyAlignment="1" applyProtection="1">
      <alignment horizontal="center" vertical="center" wrapText="1"/>
      <protection/>
    </xf>
    <xf numFmtId="3" fontId="68" fillId="8" borderId="9" xfId="28" applyNumberFormat="1" applyFont="1" applyFill="1" applyBorder="1" applyAlignment="1" applyProtection="1">
      <alignment horizontal="right" vertical="center" wrapText="1"/>
      <protection/>
    </xf>
    <xf numFmtId="0" fontId="48" fillId="6" borderId="195" xfId="28" applyFont="1" applyFill="1" applyBorder="1" applyAlignment="1">
      <alignment vertical="center" wrapText="1"/>
      <protection/>
    </xf>
    <xf numFmtId="0" fontId="48" fillId="6" borderId="160" xfId="28" applyFont="1" applyFill="1" applyBorder="1" applyAlignment="1">
      <alignment vertical="center" wrapText="1"/>
      <protection/>
    </xf>
    <xf numFmtId="0" fontId="68" fillId="6" borderId="7" xfId="28" applyFont="1" applyFill="1" applyBorder="1" applyAlignment="1">
      <alignment vertical="center" wrapText="1"/>
      <protection/>
    </xf>
    <xf numFmtId="0" fontId="68" fillId="6" borderId="86" xfId="28" applyFont="1" applyFill="1" applyBorder="1" applyAlignment="1">
      <alignment vertical="center" wrapText="1"/>
      <protection/>
    </xf>
    <xf numFmtId="0" fontId="68" fillId="6" borderId="1" xfId="28" applyFont="1" applyFill="1" applyBorder="1" applyAlignment="1">
      <alignment vertical="center" wrapText="1"/>
      <protection/>
    </xf>
    <xf numFmtId="0" fontId="68" fillId="6" borderId="83" xfId="28" applyFont="1" applyFill="1" applyBorder="1" applyAlignment="1">
      <alignment vertical="center" wrapText="1"/>
      <protection/>
    </xf>
    <xf numFmtId="3" fontId="48" fillId="8" borderId="33" xfId="28" applyNumberFormat="1" applyFont="1" applyFill="1" applyBorder="1" applyAlignment="1">
      <alignment horizontal="right" vertical="center" wrapText="1"/>
      <protection/>
    </xf>
    <xf numFmtId="3" fontId="68" fillId="8" borderId="16" xfId="28" applyNumberFormat="1" applyFont="1" applyFill="1" applyBorder="1" applyAlignment="1" applyProtection="1">
      <alignment horizontal="right" vertical="center" wrapText="1"/>
      <protection/>
    </xf>
    <xf numFmtId="0" fontId="48" fillId="0" borderId="139" xfId="28" applyFont="1" applyBorder="1" applyAlignment="1">
      <alignment horizontal="center" vertical="center" wrapText="1"/>
      <protection/>
    </xf>
    <xf numFmtId="0" fontId="48" fillId="0" borderId="138" xfId="28" applyFont="1" applyBorder="1" applyAlignment="1">
      <alignment horizontal="center" vertical="center" wrapText="1"/>
      <protection/>
    </xf>
    <xf numFmtId="3" fontId="0" fillId="0" borderId="60" xfId="0" applyNumberFormat="1" applyFont="1" applyBorder="1" applyAlignment="1" applyProtection="1">
      <alignment vertical="center"/>
      <protection/>
    </xf>
    <xf numFmtId="3" fontId="0" fillId="0" borderId="61" xfId="0" applyNumberFormat="1" applyFont="1" applyBorder="1" applyAlignment="1" applyProtection="1">
      <alignment vertical="center"/>
      <protection/>
    </xf>
    <xf numFmtId="3" fontId="0" fillId="0" borderId="63" xfId="0" applyNumberFormat="1" applyFont="1" applyBorder="1" applyAlignment="1" applyProtection="1">
      <alignment vertical="center"/>
      <protection/>
    </xf>
    <xf numFmtId="3" fontId="0" fillId="0" borderId="64" xfId="0" applyNumberFormat="1" applyFont="1" applyBorder="1" applyAlignment="1" applyProtection="1">
      <alignment vertical="center"/>
      <protection/>
    </xf>
    <xf numFmtId="3" fontId="0" fillId="0" borderId="70" xfId="0" applyNumberFormat="1" applyFont="1" applyBorder="1" applyAlignment="1" applyProtection="1">
      <alignment vertical="center"/>
      <protection/>
    </xf>
    <xf numFmtId="3" fontId="0" fillId="0" borderId="79" xfId="0" applyNumberFormat="1" applyFont="1" applyBorder="1" applyAlignment="1" applyProtection="1">
      <alignment vertical="center"/>
      <protection/>
    </xf>
    <xf numFmtId="3" fontId="0" fillId="0" borderId="39" xfId="0" applyNumberFormat="1" applyFont="1" applyBorder="1" applyAlignment="1" applyProtection="1">
      <alignment vertical="center"/>
      <protection/>
    </xf>
    <xf numFmtId="3" fontId="0" fillId="0" borderId="41" xfId="0" applyNumberFormat="1" applyFont="1" applyBorder="1" applyAlignment="1" applyProtection="1">
      <alignment vertical="center"/>
      <protection/>
    </xf>
    <xf numFmtId="3" fontId="0" fillId="0" borderId="18" xfId="0" applyNumberFormat="1" applyFont="1" applyBorder="1" applyAlignment="1" applyProtection="1">
      <alignment vertical="center"/>
      <protection/>
    </xf>
    <xf numFmtId="3" fontId="0" fillId="0" borderId="48" xfId="0" applyNumberFormat="1" applyFont="1" applyBorder="1" applyAlignment="1" applyProtection="1">
      <alignment vertical="center"/>
      <protection/>
    </xf>
    <xf numFmtId="3" fontId="0" fillId="0" borderId="37" xfId="0" applyNumberFormat="1" applyFont="1" applyBorder="1" applyAlignment="1" applyProtection="1">
      <alignment vertical="center"/>
      <protection/>
    </xf>
    <xf numFmtId="3" fontId="0" fillId="0" borderId="62" xfId="0" applyNumberFormat="1" applyFont="1" applyBorder="1" applyAlignment="1" applyProtection="1">
      <alignment vertical="center"/>
      <protection/>
    </xf>
    <xf numFmtId="3" fontId="0" fillId="0" borderId="60" xfId="0" applyNumberFormat="1" applyFont="1" applyBorder="1" applyAlignment="1" applyProtection="1">
      <alignment vertical="center"/>
      <protection/>
    </xf>
    <xf numFmtId="3" fontId="0" fillId="0" borderId="61" xfId="0" applyNumberFormat="1" applyFont="1" applyBorder="1" applyAlignment="1" applyProtection="1">
      <alignment vertical="center"/>
      <protection/>
    </xf>
    <xf numFmtId="3" fontId="0" fillId="0" borderId="72" xfId="0" applyNumberFormat="1" applyFont="1" applyBorder="1" applyAlignment="1" applyProtection="1">
      <alignment vertical="center"/>
      <protection/>
    </xf>
    <xf numFmtId="3" fontId="0" fillId="0" borderId="197" xfId="0" applyNumberFormat="1" applyFont="1" applyBorder="1" applyAlignment="1" applyProtection="1">
      <alignment vertical="center"/>
      <protection/>
    </xf>
    <xf numFmtId="3" fontId="0" fillId="0" borderId="75" xfId="0" applyNumberFormat="1" applyFont="1" applyBorder="1" applyAlignment="1" applyProtection="1">
      <alignment vertical="center"/>
      <protection/>
    </xf>
    <xf numFmtId="3" fontId="0" fillId="0" borderId="208" xfId="0" applyNumberFormat="1" applyFont="1" applyBorder="1" applyAlignment="1" applyProtection="1">
      <alignment vertical="center"/>
      <protection/>
    </xf>
    <xf numFmtId="3" fontId="0" fillId="0" borderId="70" xfId="0" applyNumberFormat="1" applyFont="1" applyBorder="1" applyAlignment="1" applyProtection="1">
      <alignment vertical="center"/>
      <protection/>
    </xf>
    <xf numFmtId="3" fontId="0" fillId="0" borderId="67" xfId="0" applyNumberFormat="1" applyFont="1" applyBorder="1" applyAlignment="1" applyProtection="1">
      <alignment vertical="center"/>
      <protection/>
    </xf>
    <xf numFmtId="3" fontId="0" fillId="0" borderId="68" xfId="0" applyNumberFormat="1" applyFont="1" applyBorder="1" applyAlignment="1" applyProtection="1">
      <alignment vertical="center"/>
      <protection/>
    </xf>
    <xf numFmtId="3" fontId="0" fillId="0" borderId="32" xfId="0" applyNumberFormat="1" applyFont="1" applyBorder="1" applyAlignment="1" applyProtection="1">
      <alignment horizontal="right" vertical="center"/>
      <protection/>
    </xf>
    <xf numFmtId="3" fontId="0" fillId="0" borderId="32" xfId="0" applyNumberFormat="1" applyFont="1" applyBorder="1" applyAlignment="1" applyProtection="1">
      <alignment vertical="center"/>
      <protection/>
    </xf>
    <xf numFmtId="3" fontId="0" fillId="0" borderId="37" xfId="0" applyNumberFormat="1" applyFont="1" applyBorder="1" applyAlignment="1" applyProtection="1">
      <alignment vertical="center"/>
      <protection/>
    </xf>
    <xf numFmtId="3" fontId="0" fillId="0" borderId="62" xfId="0" applyNumberFormat="1" applyFont="1" applyBorder="1" applyAlignment="1" applyProtection="1">
      <alignment vertical="center"/>
      <protection/>
    </xf>
    <xf numFmtId="3" fontId="0" fillId="0" borderId="40" xfId="0" applyNumberFormat="1" applyFont="1" applyBorder="1" applyAlignment="1" applyProtection="1">
      <alignment vertical="center"/>
      <protection/>
    </xf>
    <xf numFmtId="3" fontId="0" fillId="0" borderId="54" xfId="0" applyNumberFormat="1" applyFont="1" applyBorder="1" applyAlignment="1" applyProtection="1">
      <alignment vertical="center"/>
      <protection/>
    </xf>
    <xf numFmtId="0" fontId="75" fillId="2" borderId="0" xfId="0" applyFont="1" applyFill="1" applyAlignment="1" applyProtection="1">
      <alignment/>
      <protection/>
    </xf>
    <xf numFmtId="0" fontId="29" fillId="0" borderId="0" xfId="26" applyAlignment="1">
      <alignment horizontal="right"/>
      <protection/>
    </xf>
    <xf numFmtId="3" fontId="53" fillId="8" borderId="189" xfId="28" applyNumberFormat="1" applyFont="1" applyFill="1" applyBorder="1" applyAlignment="1">
      <alignment horizontal="right" vertical="center"/>
      <protection/>
    </xf>
    <xf numFmtId="0" fontId="68" fillId="2" borderId="193" xfId="28" applyFont="1" applyFill="1" applyBorder="1" applyAlignment="1">
      <alignment horizontal="left" vertical="center"/>
      <protection/>
    </xf>
    <xf numFmtId="0" fontId="68" fillId="2" borderId="198" xfId="28" applyFont="1" applyFill="1" applyBorder="1" applyAlignment="1">
      <alignment vertical="center" wrapText="1"/>
      <protection/>
    </xf>
    <xf numFmtId="3" fontId="68" fillId="2" borderId="128" xfId="28" applyNumberFormat="1" applyFont="1" applyFill="1" applyBorder="1" applyAlignment="1">
      <alignment horizontal="right" vertical="center" wrapText="1"/>
      <protection/>
    </xf>
    <xf numFmtId="3" fontId="68" fillId="2" borderId="129" xfId="28" applyNumberFormat="1" applyFont="1" applyFill="1" applyBorder="1" applyAlignment="1">
      <alignment horizontal="right" vertical="center" wrapText="1"/>
      <protection/>
    </xf>
    <xf numFmtId="0" fontId="68" fillId="2" borderId="146" xfId="28" applyFont="1" applyFill="1" applyBorder="1" applyAlignment="1">
      <alignment horizontal="left" vertical="center"/>
      <protection/>
    </xf>
    <xf numFmtId="0" fontId="68" fillId="2" borderId="147" xfId="28" applyFont="1" applyFill="1" applyBorder="1" applyAlignment="1">
      <alignment horizontal="left" vertical="center"/>
      <protection/>
    </xf>
    <xf numFmtId="0" fontId="68" fillId="2" borderId="146" xfId="28" applyFont="1" applyFill="1" applyBorder="1" applyAlignment="1">
      <alignment horizontal="right" vertical="center" wrapText="1"/>
      <protection/>
    </xf>
    <xf numFmtId="0" fontId="68" fillId="2" borderId="147" xfId="28" applyFont="1" applyFill="1" applyBorder="1" applyAlignment="1">
      <alignment horizontal="left" vertical="center" wrapText="1"/>
      <protection/>
    </xf>
    <xf numFmtId="3" fontId="68" fillId="0" borderId="132" xfId="28" applyNumberFormat="1" applyFont="1" applyFill="1" applyBorder="1" applyAlignment="1" applyProtection="1">
      <alignment horizontal="right" vertical="center"/>
      <protection/>
    </xf>
    <xf numFmtId="3" fontId="68" fillId="0" borderId="3" xfId="28" applyNumberFormat="1" applyFont="1" applyFill="1" applyBorder="1" applyAlignment="1" applyProtection="1">
      <alignment horizontal="right" vertical="center"/>
      <protection/>
    </xf>
    <xf numFmtId="0" fontId="46" fillId="0" borderId="0" xfId="26" applyFont="1" applyBorder="1" applyAlignment="1">
      <alignment horizontal="left" vertical="center" wrapText="1"/>
      <protection/>
    </xf>
    <xf numFmtId="0" fontId="58" fillId="0" borderId="0" xfId="0" applyFont="1" applyAlignment="1" applyProtection="1">
      <alignment horizontal="left"/>
      <protection/>
    </xf>
    <xf numFmtId="0" fontId="47" fillId="0" borderId="0" xfId="0" applyFont="1" applyAlignment="1" applyProtection="1">
      <alignment horizontal="centerContinuous"/>
      <protection/>
    </xf>
    <xf numFmtId="0" fontId="28" fillId="8" borderId="67" xfId="26" applyFont="1" applyFill="1" applyBorder="1" applyAlignment="1">
      <alignment horizontal="center" vertical="center"/>
      <protection/>
    </xf>
    <xf numFmtId="0" fontId="28" fillId="8" borderId="68" xfId="26" applyFont="1" applyFill="1" applyBorder="1" applyAlignment="1">
      <alignment horizontal="center" vertical="center"/>
      <protection/>
    </xf>
    <xf numFmtId="0" fontId="28" fillId="8" borderId="67" xfId="26" applyFont="1" applyFill="1" applyBorder="1" applyAlignment="1">
      <alignment horizontal="center" vertical="center" wrapText="1"/>
      <protection/>
    </xf>
    <xf numFmtId="0" fontId="28" fillId="8" borderId="28" xfId="26" applyFont="1" applyFill="1" applyBorder="1" applyAlignment="1">
      <alignment vertical="center"/>
      <protection/>
    </xf>
    <xf numFmtId="0" fontId="28" fillId="8" borderId="23" xfId="26" applyFont="1" applyFill="1" applyBorder="1" applyAlignment="1">
      <alignment vertical="center"/>
      <protection/>
    </xf>
    <xf numFmtId="0" fontId="48" fillId="6" borderId="162" xfId="28" applyFont="1" applyFill="1" applyBorder="1" applyAlignment="1">
      <alignment horizontal="center" vertical="center" wrapText="1"/>
      <protection/>
    </xf>
    <xf numFmtId="0" fontId="29" fillId="0" borderId="100" xfId="26" applyFont="1" applyBorder="1">
      <alignment/>
      <protection/>
    </xf>
    <xf numFmtId="3" fontId="29" fillId="0" borderId="106" xfId="26" applyNumberFormat="1" applyFont="1" applyBorder="1">
      <alignment/>
      <protection/>
    </xf>
    <xf numFmtId="3" fontId="29" fillId="0" borderId="107" xfId="26" applyNumberFormat="1" applyFont="1" applyBorder="1">
      <alignment/>
      <protection/>
    </xf>
    <xf numFmtId="3" fontId="29" fillId="0" borderId="18" xfId="26" applyNumberFormat="1" applyFont="1" applyBorder="1">
      <alignment/>
      <protection/>
    </xf>
    <xf numFmtId="3" fontId="29" fillId="0" borderId="48" xfId="26" applyNumberFormat="1" applyFont="1" applyBorder="1">
      <alignment/>
      <protection/>
    </xf>
    <xf numFmtId="3" fontId="29" fillId="0" borderId="101" xfId="26" applyNumberFormat="1" applyFont="1" applyBorder="1" applyAlignment="1">
      <alignment horizontal="right" vertical="center"/>
      <protection/>
    </xf>
    <xf numFmtId="3" fontId="29" fillId="0" borderId="209" xfId="26" applyNumberFormat="1" applyFont="1" applyBorder="1" applyAlignment="1">
      <alignment horizontal="right" vertical="center"/>
      <protection/>
    </xf>
    <xf numFmtId="3" fontId="29" fillId="0" borderId="91" xfId="26" applyNumberFormat="1" applyFont="1" applyBorder="1" applyAlignment="1">
      <alignment horizontal="right" vertical="center"/>
      <protection/>
    </xf>
    <xf numFmtId="3" fontId="29" fillId="0" borderId="78" xfId="26" applyNumberFormat="1" applyFont="1" applyBorder="1" applyAlignment="1">
      <alignment horizontal="right" vertical="center"/>
      <protection/>
    </xf>
    <xf numFmtId="0" fontId="42" fillId="0" borderId="0" xfId="26" applyFont="1" applyAlignment="1">
      <alignment vertical="center"/>
      <protection/>
    </xf>
    <xf numFmtId="0" fontId="40" fillId="0" borderId="0" xfId="25" applyNumberFormat="1" applyFont="1" applyAlignment="1">
      <alignment/>
      <protection/>
    </xf>
    <xf numFmtId="0" fontId="42" fillId="0" borderId="0" xfId="26" applyFont="1" applyAlignment="1">
      <alignment horizontal="centerContinuous" vertical="center"/>
      <protection/>
    </xf>
    <xf numFmtId="0" fontId="55" fillId="0" borderId="0" xfId="26" applyFont="1" applyAlignment="1">
      <alignment/>
      <protection/>
    </xf>
    <xf numFmtId="0" fontId="29" fillId="0" borderId="0" xfId="26" applyFont="1" applyFill="1">
      <alignment/>
      <protection/>
    </xf>
    <xf numFmtId="0" fontId="29" fillId="0" borderId="0" xfId="26" applyFont="1" applyAlignment="1">
      <alignment horizontal="right"/>
      <protection/>
    </xf>
    <xf numFmtId="3" fontId="29" fillId="0" borderId="108" xfId="26" applyNumberFormat="1" applyBorder="1" applyAlignment="1">
      <alignment horizontal="right"/>
      <protection/>
    </xf>
    <xf numFmtId="0" fontId="76" fillId="0" borderId="0" xfId="26" applyFont="1" applyFill="1" applyAlignment="1">
      <alignment horizontal="left"/>
      <protection/>
    </xf>
    <xf numFmtId="0" fontId="28" fillId="8" borderId="66" xfId="26" applyFont="1" applyFill="1" applyBorder="1" applyAlignment="1">
      <alignment horizontal="center" vertical="center"/>
      <protection/>
    </xf>
    <xf numFmtId="0" fontId="29" fillId="0" borderId="71" xfId="26" applyFont="1" applyBorder="1" applyAlignment="1">
      <alignment horizontal="left" vertical="center"/>
      <protection/>
    </xf>
    <xf numFmtId="0" fontId="29" fillId="0" borderId="71" xfId="0" applyFont="1" applyBorder="1" applyAlignment="1">
      <alignment horizontal="left" vertical="center"/>
    </xf>
    <xf numFmtId="0" fontId="29" fillId="0" borderId="76" xfId="0" applyFont="1" applyBorder="1" applyAlignment="1">
      <alignment horizontal="left" vertical="center"/>
    </xf>
    <xf numFmtId="3" fontId="29" fillId="0" borderId="77" xfId="26" applyNumberFormat="1" applyFont="1" applyFill="1" applyBorder="1" applyAlignment="1">
      <alignment vertical="center" wrapText="1"/>
      <protection/>
    </xf>
    <xf numFmtId="0" fontId="1" fillId="0" borderId="0" xfId="0" applyNumberFormat="1" applyFont="1" applyAlignment="1" applyProtection="1">
      <alignment vertical="center"/>
      <protection/>
    </xf>
    <xf numFmtId="0" fontId="77" fillId="6" borderId="0" xfId="25" applyNumberFormat="1" applyFont="1" applyFill="1" applyAlignment="1">
      <alignment horizontal="centerContinuous"/>
      <protection/>
    </xf>
    <xf numFmtId="0" fontId="47" fillId="6" borderId="0" xfId="25" applyNumberFormat="1" applyFont="1" applyFill="1" applyAlignment="1">
      <alignment horizontal="centerContinuous"/>
      <protection/>
    </xf>
    <xf numFmtId="0" fontId="29" fillId="0" borderId="29" xfId="26" applyFont="1" applyBorder="1" applyAlignment="1">
      <alignment horizontal="left"/>
      <protection/>
    </xf>
    <xf numFmtId="0" fontId="29" fillId="0" borderId="91" xfId="26" applyFont="1" applyBorder="1" applyAlignment="1">
      <alignment horizontal="left"/>
      <protection/>
    </xf>
    <xf numFmtId="0" fontId="29" fillId="0" borderId="28" xfId="26" applyFont="1" applyBorder="1" applyAlignment="1">
      <alignment horizontal="left"/>
      <protection/>
    </xf>
    <xf numFmtId="0" fontId="29" fillId="0" borderId="85" xfId="26" applyFont="1" applyBorder="1" applyAlignment="1">
      <alignment horizontal="left"/>
      <protection/>
    </xf>
    <xf numFmtId="0" fontId="78" fillId="6" borderId="0" xfId="26" applyFont="1" applyFill="1">
      <alignment/>
      <protection/>
    </xf>
    <xf numFmtId="0" fontId="79" fillId="6" borderId="0" xfId="28" applyFont="1" applyFill="1" applyAlignment="1">
      <alignment vertical="center" wrapText="1"/>
      <protection/>
    </xf>
    <xf numFmtId="0" fontId="78" fillId="6" borderId="0" xfId="28" applyFont="1" applyFill="1" applyAlignment="1">
      <alignment vertical="center" wrapText="1"/>
      <protection/>
    </xf>
    <xf numFmtId="0" fontId="79" fillId="6" borderId="0" xfId="28" applyFont="1" applyFill="1" applyBorder="1" applyAlignment="1">
      <alignment horizontal="center" vertical="center" wrapText="1"/>
      <protection/>
    </xf>
    <xf numFmtId="0" fontId="78" fillId="6" borderId="0" xfId="28" applyFont="1" applyFill="1" applyBorder="1" applyAlignment="1">
      <alignment vertical="center" wrapText="1"/>
      <protection/>
    </xf>
    <xf numFmtId="0" fontId="78" fillId="6" borderId="0" xfId="26" applyFont="1" applyFill="1" applyBorder="1">
      <alignment/>
      <protection/>
    </xf>
    <xf numFmtId="0" fontId="38" fillId="6" borderId="0" xfId="0" applyFont="1" applyFill="1" applyBorder="1" applyAlignment="1">
      <alignment horizontal="centerContinuous"/>
    </xf>
    <xf numFmtId="0" fontId="48" fillId="6" borderId="0" xfId="0" applyFont="1" applyFill="1" applyBorder="1" applyAlignment="1">
      <alignment horizontal="centerContinuous"/>
    </xf>
    <xf numFmtId="0" fontId="28" fillId="8" borderId="94" xfId="26" applyFont="1" applyFill="1" applyBorder="1" applyAlignment="1">
      <alignment horizontal="center" vertical="center"/>
      <protection/>
    </xf>
    <xf numFmtId="0" fontId="28" fillId="8" borderId="95" xfId="26" applyFont="1" applyFill="1" applyBorder="1" applyAlignment="1">
      <alignment horizontal="center" vertical="center"/>
      <protection/>
    </xf>
    <xf numFmtId="0" fontId="28" fillId="8" borderId="97" xfId="26" applyFont="1" applyFill="1" applyBorder="1" applyAlignment="1">
      <alignment horizontal="center" vertical="center" wrapText="1"/>
      <protection/>
    </xf>
    <xf numFmtId="3" fontId="29" fillId="0" borderId="109" xfId="26" applyNumberFormat="1" applyBorder="1">
      <alignment/>
      <protection/>
    </xf>
    <xf numFmtId="3" fontId="29" fillId="0" borderId="59" xfId="26" applyNumberFormat="1" applyBorder="1">
      <alignment/>
      <protection/>
    </xf>
    <xf numFmtId="3" fontId="28" fillId="8" borderId="77" xfId="26" applyNumberFormat="1" applyFont="1" applyFill="1" applyBorder="1" applyAlignment="1">
      <alignment horizontal="right"/>
      <protection/>
    </xf>
    <xf numFmtId="3" fontId="28" fillId="8" borderId="78" xfId="26" applyNumberFormat="1" applyFont="1" applyFill="1" applyBorder="1">
      <alignment/>
      <protection/>
    </xf>
    <xf numFmtId="0" fontId="38" fillId="0" borderId="0" xfId="0" applyFont="1" applyBorder="1" applyAlignment="1">
      <alignment horizontal="centerContinuous"/>
    </xf>
    <xf numFmtId="3" fontId="68" fillId="0" borderId="90" xfId="28" applyNumberFormat="1" applyFont="1" applyFill="1" applyBorder="1" applyAlignment="1">
      <alignment horizontal="right" vertical="center" wrapText="1"/>
      <protection/>
    </xf>
    <xf numFmtId="3" fontId="68" fillId="0" borderId="78" xfId="28" applyNumberFormat="1" applyFont="1" applyFill="1" applyBorder="1" applyAlignment="1">
      <alignment horizontal="right" vertical="center" wrapText="1"/>
      <protection/>
    </xf>
    <xf numFmtId="0" fontId="68" fillId="6" borderId="84" xfId="28" applyFont="1" applyFill="1" applyBorder="1" applyAlignment="1" applyProtection="1">
      <alignment horizontal="left" vertical="center"/>
      <protection locked="0"/>
    </xf>
    <xf numFmtId="3" fontId="68" fillId="0" borderId="87" xfId="28" applyNumberFormat="1" applyFont="1" applyFill="1" applyBorder="1" applyAlignment="1">
      <alignment horizontal="right" vertical="center" wrapText="1"/>
      <protection/>
    </xf>
    <xf numFmtId="3" fontId="68" fillId="0" borderId="68" xfId="28" applyNumberFormat="1" applyFont="1" applyFill="1" applyBorder="1" applyAlignment="1">
      <alignment horizontal="right" vertical="center" wrapText="1"/>
      <protection/>
    </xf>
    <xf numFmtId="3" fontId="68" fillId="0" borderId="23" xfId="28" applyNumberFormat="1" applyFont="1" applyFill="1" applyBorder="1" applyAlignment="1">
      <alignment horizontal="right" vertical="center" wrapText="1"/>
      <protection/>
    </xf>
    <xf numFmtId="3" fontId="68" fillId="0" borderId="59" xfId="28" applyNumberFormat="1" applyFont="1" applyFill="1" applyBorder="1" applyAlignment="1">
      <alignment horizontal="right" vertical="center" wrapText="1"/>
      <protection/>
    </xf>
    <xf numFmtId="0" fontId="68" fillId="6" borderId="30" xfId="28" applyFont="1" applyFill="1" applyBorder="1" applyAlignment="1" applyProtection="1">
      <alignment horizontal="left" vertical="center"/>
      <protection locked="0"/>
    </xf>
    <xf numFmtId="0" fontId="68" fillId="6" borderId="28" xfId="28" applyFont="1" applyFill="1" applyBorder="1" applyAlignment="1" applyProtection="1">
      <alignment horizontal="left" vertical="center"/>
      <protection locked="0"/>
    </xf>
    <xf numFmtId="0" fontId="68" fillId="6" borderId="29" xfId="28" applyFont="1" applyFill="1" applyBorder="1" applyAlignment="1" applyProtection="1">
      <alignment horizontal="left" vertical="center"/>
      <protection locked="0"/>
    </xf>
    <xf numFmtId="0" fontId="28" fillId="8" borderId="95" xfId="26" applyFont="1" applyFill="1" applyBorder="1" applyAlignment="1">
      <alignment horizontal="center" vertical="center" wrapText="1"/>
      <protection/>
    </xf>
    <xf numFmtId="0" fontId="28" fillId="8" borderId="95" xfId="26" applyFont="1" applyFill="1" applyBorder="1" applyAlignment="1">
      <alignment horizontal="center" wrapText="1"/>
      <protection/>
    </xf>
    <xf numFmtId="0" fontId="29" fillId="0" borderId="110" xfId="26" applyBorder="1">
      <alignment/>
      <protection/>
    </xf>
    <xf numFmtId="0" fontId="29" fillId="0" borderId="109" xfId="26" applyBorder="1">
      <alignment/>
      <protection/>
    </xf>
    <xf numFmtId="0" fontId="29" fillId="0" borderId="59" xfId="26" applyBorder="1">
      <alignment/>
      <protection/>
    </xf>
    <xf numFmtId="0" fontId="29" fillId="0" borderId="76" xfId="26" applyBorder="1">
      <alignment/>
      <protection/>
    </xf>
    <xf numFmtId="0" fontId="29" fillId="0" borderId="77" xfId="26" applyBorder="1">
      <alignment/>
      <protection/>
    </xf>
    <xf numFmtId="0" fontId="29" fillId="0" borderId="78" xfId="26" applyBorder="1">
      <alignment/>
      <protection/>
    </xf>
    <xf numFmtId="0" fontId="28" fillId="8" borderId="94" xfId="26" applyFont="1" applyFill="1" applyBorder="1" applyAlignment="1">
      <alignment horizontal="center"/>
      <protection/>
    </xf>
    <xf numFmtId="0" fontId="28" fillId="8" borderId="97" xfId="26" applyFont="1" applyFill="1" applyBorder="1" applyAlignment="1">
      <alignment horizontal="center"/>
      <protection/>
    </xf>
    <xf numFmtId="0" fontId="29" fillId="0" borderId="109" xfId="26" applyBorder="1" applyAlignment="1">
      <alignment vertical="center"/>
      <protection/>
    </xf>
    <xf numFmtId="0" fontId="28" fillId="0" borderId="0" xfId="28" applyFont="1" applyAlignment="1">
      <alignment vertical="center" wrapText="1"/>
      <protection/>
    </xf>
    <xf numFmtId="3" fontId="29" fillId="0" borderId="0" xfId="28" applyNumberFormat="1" applyFont="1" applyAlignment="1">
      <alignment horizontal="center" vertical="center" wrapText="1"/>
      <protection/>
    </xf>
    <xf numFmtId="0" fontId="38" fillId="0" borderId="0" xfId="0" applyFont="1" applyAlignment="1">
      <alignment horizontal="justify"/>
    </xf>
    <xf numFmtId="0" fontId="57" fillId="0" borderId="0" xfId="0" applyFont="1" applyAlignment="1">
      <alignment horizontal="left"/>
    </xf>
    <xf numFmtId="0" fontId="28" fillId="2" borderId="0" xfId="28" applyFont="1" applyFill="1" applyBorder="1" applyAlignment="1">
      <alignment horizontal="left" vertical="center" wrapText="1"/>
      <protection/>
    </xf>
    <xf numFmtId="0" fontId="28" fillId="0" borderId="0" xfId="28" applyFont="1" applyFill="1" applyBorder="1" applyAlignment="1">
      <alignment horizontal="left" vertical="center" wrapText="1"/>
      <protection/>
    </xf>
    <xf numFmtId="3" fontId="28" fillId="0" borderId="0" xfId="28" applyNumberFormat="1" applyFont="1" applyFill="1" applyBorder="1" applyAlignment="1">
      <alignment horizontal="center" vertical="center" wrapText="1"/>
      <protection/>
    </xf>
    <xf numFmtId="3" fontId="29" fillId="0" borderId="82" xfId="28" applyNumberFormat="1" applyFont="1" applyBorder="1" applyAlignment="1">
      <alignment horizontal="center" vertical="center" wrapText="1"/>
      <protection/>
    </xf>
    <xf numFmtId="3" fontId="29" fillId="0" borderId="131" xfId="28" applyNumberFormat="1" applyFont="1" applyBorder="1" applyAlignment="1">
      <alignment horizontal="center" vertical="center" wrapText="1"/>
      <protection/>
    </xf>
    <xf numFmtId="3" fontId="29" fillId="0" borderId="157" xfId="28" applyNumberFormat="1" applyFont="1" applyBorder="1" applyAlignment="1">
      <alignment horizontal="center" vertical="center" wrapText="1"/>
      <protection/>
    </xf>
    <xf numFmtId="3" fontId="28" fillId="8" borderId="162" xfId="28" applyNumberFormat="1" applyFont="1" applyFill="1" applyBorder="1" applyAlignment="1">
      <alignment horizontal="right" vertical="center" wrapText="1"/>
      <protection/>
    </xf>
    <xf numFmtId="0" fontId="29" fillId="0" borderId="156" xfId="28" applyFont="1" applyBorder="1" applyAlignment="1">
      <alignment horizontal="left" vertical="center"/>
      <protection/>
    </xf>
    <xf numFmtId="0" fontId="29" fillId="0" borderId="12" xfId="28" applyFont="1" applyBorder="1" applyAlignment="1">
      <alignment horizontal="left" vertical="center"/>
      <protection/>
    </xf>
    <xf numFmtId="0" fontId="29" fillId="0" borderId="28" xfId="28" applyFont="1" applyBorder="1" applyAlignment="1">
      <alignment horizontal="left" vertical="center"/>
      <protection/>
    </xf>
    <xf numFmtId="0" fontId="29" fillId="0" borderId="23" xfId="28" applyFont="1" applyBorder="1" applyAlignment="1">
      <alignment horizontal="left" vertical="center"/>
      <protection/>
    </xf>
    <xf numFmtId="0" fontId="29" fillId="0" borderId="155" xfId="28" applyFont="1" applyBorder="1" applyAlignment="1">
      <alignment horizontal="left" vertical="center"/>
      <protection/>
    </xf>
    <xf numFmtId="0" fontId="29" fillId="0" borderId="133" xfId="28" applyFont="1" applyBorder="1" applyAlignment="1">
      <alignment horizontal="left" vertical="center"/>
      <protection/>
    </xf>
    <xf numFmtId="0" fontId="29" fillId="0" borderId="154" xfId="28" applyFont="1" applyBorder="1" applyAlignment="1">
      <alignment horizontal="left" vertical="center"/>
      <protection/>
    </xf>
    <xf numFmtId="0" fontId="29" fillId="0" borderId="85" xfId="28" applyFont="1" applyBorder="1" applyAlignment="1">
      <alignment horizontal="left" vertical="center"/>
      <protection/>
    </xf>
    <xf numFmtId="0" fontId="29" fillId="0" borderId="114" xfId="28" applyFont="1" applyBorder="1" applyAlignment="1">
      <alignment horizontal="left" vertical="center"/>
      <protection/>
    </xf>
    <xf numFmtId="0" fontId="28" fillId="0" borderId="0" xfId="28" applyFont="1" applyFill="1" applyBorder="1" applyAlignment="1">
      <alignment vertical="center"/>
      <protection/>
    </xf>
    <xf numFmtId="0" fontId="29" fillId="0" borderId="0" xfId="28" applyFont="1" applyFill="1" applyBorder="1" applyAlignment="1">
      <alignment vertical="center" wrapText="1"/>
      <protection/>
    </xf>
    <xf numFmtId="3" fontId="29" fillId="0" borderId="0" xfId="28" applyNumberFormat="1" applyFont="1" applyFill="1" applyBorder="1" applyAlignment="1">
      <alignment horizontal="center" vertical="center" wrapText="1"/>
      <protection/>
    </xf>
    <xf numFmtId="0" fontId="29" fillId="0" borderId="0" xfId="26" applyFont="1" applyFill="1" applyBorder="1">
      <alignment/>
      <protection/>
    </xf>
    <xf numFmtId="0" fontId="29" fillId="0" borderId="0" xfId="26" applyFont="1" applyFill="1" applyBorder="1" applyAlignment="1">
      <alignment vertical="center" wrapText="1"/>
      <protection/>
    </xf>
    <xf numFmtId="0" fontId="29" fillId="0" borderId="23" xfId="26" applyFont="1" applyBorder="1" applyAlignment="1">
      <alignment/>
      <protection/>
    </xf>
    <xf numFmtId="0" fontId="29" fillId="8" borderId="85" xfId="26" applyFont="1" applyFill="1" applyBorder="1">
      <alignment/>
      <protection/>
    </xf>
    <xf numFmtId="0" fontId="28" fillId="8" borderId="29" xfId="28" applyFont="1" applyFill="1" applyBorder="1" applyAlignment="1">
      <alignment horizontal="left" vertical="center"/>
      <protection/>
    </xf>
    <xf numFmtId="0" fontId="28" fillId="8" borderId="90" xfId="28" applyFont="1" applyFill="1" applyBorder="1" applyAlignment="1">
      <alignment horizontal="left" vertical="center"/>
      <protection/>
    </xf>
    <xf numFmtId="3" fontId="28" fillId="8" borderId="91" xfId="28" applyNumberFormat="1" applyFont="1" applyFill="1" applyBorder="1" applyAlignment="1">
      <alignment horizontal="center" vertical="center"/>
      <protection/>
    </xf>
    <xf numFmtId="0" fontId="28" fillId="8" borderId="84" xfId="26" applyFont="1" applyFill="1" applyBorder="1" applyAlignment="1">
      <alignment horizontal="center" vertical="center"/>
      <protection/>
    </xf>
    <xf numFmtId="0" fontId="28" fillId="8" borderId="162" xfId="28" applyFont="1" applyFill="1" applyBorder="1" applyAlignment="1">
      <alignment horizontal="center" vertical="center" wrapText="1"/>
      <protection/>
    </xf>
    <xf numFmtId="0" fontId="28" fillId="8" borderId="30" xfId="26" applyFont="1" applyFill="1" applyBorder="1" applyAlignment="1">
      <alignment horizontal="centerContinuous" vertical="center"/>
      <protection/>
    </xf>
    <xf numFmtId="0" fontId="28" fillId="8" borderId="87" xfId="26" applyFont="1" applyFill="1" applyBorder="1" applyAlignment="1">
      <alignment horizontal="centerContinuous" vertical="center"/>
      <protection/>
    </xf>
    <xf numFmtId="0" fontId="29" fillId="8" borderId="88" xfId="26" applyFont="1" applyFill="1" applyBorder="1" applyAlignment="1">
      <alignment horizontal="centerContinuous"/>
      <protection/>
    </xf>
    <xf numFmtId="3" fontId="28" fillId="8" borderId="93" xfId="28" applyNumberFormat="1" applyFont="1" applyFill="1" applyBorder="1" applyAlignment="1">
      <alignment horizontal="right" vertical="center" wrapText="1"/>
      <protection/>
    </xf>
    <xf numFmtId="3" fontId="79" fillId="0" borderId="0" xfId="28" applyNumberFormat="1" applyFont="1" applyFill="1" applyBorder="1" applyAlignment="1">
      <alignment horizontal="right" vertical="center" wrapText="1"/>
      <protection/>
    </xf>
    <xf numFmtId="0" fontId="28" fillId="2" borderId="142" xfId="28" applyFont="1" applyFill="1" applyBorder="1" applyAlignment="1">
      <alignment horizontal="center" vertical="center" wrapText="1"/>
      <protection/>
    </xf>
    <xf numFmtId="0" fontId="28" fillId="2" borderId="78" xfId="28" applyFont="1" applyFill="1" applyBorder="1" applyAlignment="1">
      <alignment horizontal="center" vertical="center" wrapText="1"/>
      <protection/>
    </xf>
    <xf numFmtId="0" fontId="28" fillId="2" borderId="76" xfId="28" applyFont="1" applyFill="1" applyBorder="1" applyAlignment="1">
      <alignment horizontal="center" vertical="center" wrapText="1"/>
      <protection/>
    </xf>
    <xf numFmtId="3" fontId="28" fillId="8" borderId="9" xfId="28" applyNumberFormat="1" applyFont="1" applyFill="1" applyBorder="1" applyAlignment="1">
      <alignment horizontal="right" vertical="center" wrapText="1"/>
      <protection/>
    </xf>
    <xf numFmtId="3" fontId="28" fillId="8" borderId="11" xfId="28" applyNumberFormat="1" applyFont="1" applyFill="1" applyBorder="1" applyAlignment="1">
      <alignment horizontal="right" vertical="center" wrapText="1"/>
      <protection/>
    </xf>
    <xf numFmtId="3" fontId="29" fillId="0" borderId="0" xfId="28" applyNumberFormat="1" applyFont="1" applyFill="1" applyBorder="1" applyAlignment="1">
      <alignment horizontal="right" vertical="center" wrapText="1"/>
      <protection/>
    </xf>
    <xf numFmtId="3" fontId="29" fillId="0" borderId="0" xfId="26" applyNumberFormat="1" applyFont="1" applyAlignment="1">
      <alignment horizontal="right"/>
      <protection/>
    </xf>
    <xf numFmtId="3" fontId="41" fillId="0" borderId="98" xfId="28" applyNumberFormat="1" applyFont="1" applyFill="1" applyBorder="1" applyAlignment="1">
      <alignment horizontal="right" vertical="center" wrapText="1"/>
      <protection/>
    </xf>
    <xf numFmtId="3" fontId="41" fillId="0" borderId="209" xfId="28" applyNumberFormat="1" applyFont="1" applyFill="1" applyBorder="1" applyAlignment="1">
      <alignment horizontal="right" vertical="center" wrapText="1"/>
      <protection/>
    </xf>
    <xf numFmtId="3" fontId="41" fillId="0" borderId="76" xfId="28" applyNumberFormat="1" applyFont="1" applyFill="1" applyBorder="1" applyAlignment="1">
      <alignment horizontal="right" vertical="center" wrapText="1"/>
      <protection/>
    </xf>
    <xf numFmtId="3" fontId="41" fillId="0" borderId="78" xfId="28" applyNumberFormat="1" applyFont="1" applyFill="1" applyBorder="1" applyAlignment="1">
      <alignment horizontal="right" vertical="center" wrapText="1"/>
      <protection/>
    </xf>
    <xf numFmtId="0" fontId="28" fillId="2" borderId="140" xfId="28" applyFont="1" applyFill="1" applyBorder="1" applyAlignment="1">
      <alignment horizontal="center" vertical="center" wrapText="1"/>
      <protection/>
    </xf>
    <xf numFmtId="3" fontId="41" fillId="0" borderId="71" xfId="28" applyNumberFormat="1" applyFont="1" applyFill="1" applyBorder="1" applyAlignment="1">
      <alignment horizontal="right" vertical="center" wrapText="1"/>
      <protection/>
    </xf>
    <xf numFmtId="3" fontId="41" fillId="0" borderId="59" xfId="28" applyNumberFormat="1" applyFont="1" applyFill="1" applyBorder="1" applyAlignment="1">
      <alignment horizontal="right" vertical="center" wrapText="1"/>
      <protection/>
    </xf>
    <xf numFmtId="3" fontId="41" fillId="0" borderId="20" xfId="28" applyNumberFormat="1" applyFont="1" applyFill="1" applyBorder="1" applyAlignment="1">
      <alignment horizontal="right" vertical="center" wrapText="1"/>
      <protection/>
    </xf>
    <xf numFmtId="3" fontId="41" fillId="0" borderId="115" xfId="28" applyNumberFormat="1" applyFont="1" applyFill="1" applyBorder="1" applyAlignment="1">
      <alignment horizontal="right" vertical="center" wrapText="1"/>
      <protection/>
    </xf>
    <xf numFmtId="3" fontId="41" fillId="0" borderId="110" xfId="28" applyNumberFormat="1" applyFont="1" applyFill="1" applyBorder="1" applyAlignment="1">
      <alignment horizontal="right" vertical="center" wrapText="1"/>
      <protection/>
    </xf>
    <xf numFmtId="3" fontId="41" fillId="0" borderId="109" xfId="28" applyNumberFormat="1" applyFont="1" applyFill="1" applyBorder="1" applyAlignment="1">
      <alignment horizontal="right" vertical="center" wrapText="1"/>
      <protection/>
    </xf>
    <xf numFmtId="3" fontId="28" fillId="0" borderId="65" xfId="28" applyNumberFormat="1" applyFont="1" applyFill="1" applyBorder="1" applyAlignment="1">
      <alignment horizontal="right" vertical="center" wrapText="1"/>
      <protection/>
    </xf>
    <xf numFmtId="3" fontId="28" fillId="0" borderId="48" xfId="28" applyNumberFormat="1" applyFont="1" applyFill="1" applyBorder="1" applyAlignment="1">
      <alignment horizontal="right" vertical="center" wrapText="1"/>
      <protection/>
    </xf>
    <xf numFmtId="3" fontId="68" fillId="6" borderId="59" xfId="28" applyNumberFormat="1" applyFont="1" applyFill="1" applyBorder="1" applyAlignment="1">
      <alignment horizontal="right" vertical="center"/>
      <protection/>
    </xf>
    <xf numFmtId="3" fontId="68" fillId="6" borderId="109" xfId="28" applyNumberFormat="1" applyFont="1" applyFill="1" applyBorder="1" applyAlignment="1">
      <alignment horizontal="right" vertical="center"/>
      <protection/>
    </xf>
    <xf numFmtId="3" fontId="68" fillId="6" borderId="115" xfId="28" applyNumberFormat="1" applyFont="1" applyFill="1" applyBorder="1" applyAlignment="1">
      <alignment horizontal="right" vertical="center"/>
      <protection/>
    </xf>
    <xf numFmtId="3" fontId="68" fillId="8" borderId="11" xfId="28" applyNumberFormat="1" applyFont="1" applyFill="1" applyBorder="1" applyAlignment="1">
      <alignment horizontal="right" vertical="center"/>
      <protection/>
    </xf>
    <xf numFmtId="3" fontId="68" fillId="6" borderId="154" xfId="28" applyNumberFormat="1" applyFont="1" applyFill="1" applyBorder="1" applyAlignment="1">
      <alignment horizontal="right" vertical="center"/>
      <protection/>
    </xf>
    <xf numFmtId="3" fontId="68" fillId="6" borderId="85" xfId="28" applyNumberFormat="1" applyFont="1" applyFill="1" applyBorder="1" applyAlignment="1">
      <alignment horizontal="right" vertical="center"/>
      <protection/>
    </xf>
    <xf numFmtId="3" fontId="68" fillId="6" borderId="114" xfId="28" applyNumberFormat="1" applyFont="1" applyFill="1" applyBorder="1" applyAlignment="1">
      <alignment horizontal="right" vertical="center"/>
      <protection/>
    </xf>
    <xf numFmtId="3" fontId="68" fillId="8" borderId="132" xfId="28" applyNumberFormat="1" applyFont="1" applyFill="1" applyBorder="1" applyAlignment="1">
      <alignment horizontal="right" vertical="center"/>
      <protection/>
    </xf>
    <xf numFmtId="3" fontId="68" fillId="8" borderId="48" xfId="28" applyNumberFormat="1" applyFont="1" applyFill="1" applyBorder="1" applyAlignment="1">
      <alignment horizontal="right" vertical="center"/>
      <protection/>
    </xf>
    <xf numFmtId="3" fontId="68" fillId="6" borderId="78" xfId="28" applyNumberFormat="1" applyFont="1" applyFill="1" applyBorder="1" applyAlignment="1">
      <alignment horizontal="right" vertical="center"/>
      <protection/>
    </xf>
    <xf numFmtId="3" fontId="68" fillId="6" borderId="91" xfId="28" applyNumberFormat="1" applyFont="1" applyFill="1" applyBorder="1" applyAlignment="1">
      <alignment horizontal="right" vertical="center"/>
      <protection/>
    </xf>
    <xf numFmtId="3" fontId="68" fillId="8" borderId="158" xfId="28" applyNumberFormat="1" applyFont="1" applyFill="1" applyBorder="1" applyAlignment="1">
      <alignment horizontal="right" vertical="center"/>
      <protection/>
    </xf>
    <xf numFmtId="0" fontId="48" fillId="0" borderId="91" xfId="28" applyFont="1" applyFill="1" applyBorder="1" applyAlignment="1">
      <alignment horizontal="center" vertical="center" wrapText="1"/>
      <protection/>
    </xf>
    <xf numFmtId="0" fontId="48" fillId="0" borderId="78" xfId="28" applyFont="1" applyFill="1" applyBorder="1" applyAlignment="1">
      <alignment horizontal="center" vertical="center" wrapText="1"/>
      <protection/>
    </xf>
    <xf numFmtId="0" fontId="28" fillId="0" borderId="162" xfId="28" applyFont="1" applyFill="1" applyBorder="1" applyAlignment="1">
      <alignment horizontal="center" vertical="center" wrapText="1"/>
      <protection/>
    </xf>
    <xf numFmtId="3" fontId="68" fillId="6" borderId="88" xfId="28" applyNumberFormat="1" applyFont="1" applyFill="1" applyBorder="1" applyAlignment="1">
      <alignment horizontal="right" vertical="center"/>
      <protection/>
    </xf>
    <xf numFmtId="3" fontId="68" fillId="6" borderId="68" xfId="28" applyNumberFormat="1" applyFont="1" applyFill="1" applyBorder="1" applyAlignment="1">
      <alignment horizontal="right" vertical="center"/>
      <protection/>
    </xf>
    <xf numFmtId="0" fontId="68" fillId="6" borderId="66" xfId="28" applyFont="1" applyFill="1" applyBorder="1" applyAlignment="1">
      <alignment vertical="center" wrapText="1"/>
      <protection/>
    </xf>
    <xf numFmtId="0" fontId="68" fillId="6" borderId="71" xfId="28" applyFont="1" applyFill="1" applyBorder="1" applyAlignment="1">
      <alignment vertical="center" wrapText="1"/>
      <protection/>
    </xf>
    <xf numFmtId="0" fontId="68" fillId="6" borderId="20" xfId="28" applyFont="1" applyFill="1" applyBorder="1" applyAlignment="1">
      <alignment vertical="center" wrapText="1"/>
      <protection/>
    </xf>
    <xf numFmtId="0" fontId="48" fillId="0" borderId="9" xfId="28" applyFont="1" applyBorder="1" applyAlignment="1">
      <alignment vertical="center" wrapText="1"/>
      <protection/>
    </xf>
    <xf numFmtId="0" fontId="68" fillId="6" borderId="110" xfId="28" applyFont="1" applyFill="1" applyBorder="1" applyAlignment="1">
      <alignment vertical="center" wrapText="1"/>
      <protection/>
    </xf>
    <xf numFmtId="0" fontId="68" fillId="6" borderId="76" xfId="28" applyFont="1" applyFill="1" applyBorder="1" applyAlignment="1">
      <alignment vertical="center" wrapText="1"/>
      <protection/>
    </xf>
    <xf numFmtId="3" fontId="68" fillId="8" borderId="162" xfId="28" applyNumberFormat="1" applyFont="1" applyFill="1" applyBorder="1" applyAlignment="1">
      <alignment horizontal="right" vertical="center"/>
      <protection/>
    </xf>
    <xf numFmtId="0" fontId="28" fillId="0" borderId="68" xfId="26" applyFont="1" applyBorder="1" applyAlignment="1">
      <alignment horizontal="center" vertical="center"/>
      <protection/>
    </xf>
    <xf numFmtId="0" fontId="29" fillId="0" borderId="59" xfId="26" applyFont="1" applyBorder="1" applyAlignment="1">
      <alignment/>
      <protection/>
    </xf>
    <xf numFmtId="0" fontId="29" fillId="0" borderId="78" xfId="26" applyFont="1" applyBorder="1" applyAlignment="1">
      <alignment/>
      <protection/>
    </xf>
    <xf numFmtId="0" fontId="29" fillId="8" borderId="59" xfId="26" applyFill="1" applyBorder="1" applyAlignment="1">
      <alignment horizontal="center" vertical="center" wrapText="1"/>
      <protection/>
    </xf>
    <xf numFmtId="0" fontId="29" fillId="8" borderId="58" xfId="26" applyFont="1" applyFill="1" applyBorder="1" applyAlignment="1">
      <alignment horizontal="center" vertical="center" wrapText="1"/>
      <protection/>
    </xf>
    <xf numFmtId="0" fontId="29" fillId="8" borderId="59" xfId="26" applyFont="1" applyFill="1" applyBorder="1" applyAlignment="1">
      <alignment horizontal="center" vertical="center" wrapText="1"/>
      <protection/>
    </xf>
    <xf numFmtId="49" fontId="39" fillId="0" borderId="0" xfId="25" applyNumberFormat="1" applyFont="1" applyAlignment="1">
      <alignment horizontal="centerContinuous"/>
      <protection/>
    </xf>
    <xf numFmtId="3" fontId="29" fillId="8" borderId="59" xfId="26" applyNumberFormat="1" applyFont="1" applyFill="1" applyBorder="1" applyAlignment="1">
      <alignment horizontal="right" vertical="center"/>
      <protection/>
    </xf>
    <xf numFmtId="3" fontId="29" fillId="8" borderId="115" xfId="26" applyNumberFormat="1" applyFont="1" applyFill="1" applyBorder="1" applyAlignment="1">
      <alignment horizontal="right" vertical="center"/>
      <protection/>
    </xf>
    <xf numFmtId="3" fontId="29" fillId="8" borderId="11" xfId="26" applyNumberFormat="1" applyFont="1" applyFill="1" applyBorder="1" applyAlignment="1">
      <alignment horizontal="right" vertical="center"/>
      <protection/>
    </xf>
    <xf numFmtId="3" fontId="29" fillId="8" borderId="10" xfId="26" applyNumberFormat="1" applyFont="1" applyFill="1" applyBorder="1" applyAlignment="1">
      <alignment horizontal="right" vertical="center"/>
      <protection/>
    </xf>
    <xf numFmtId="3" fontId="29" fillId="8" borderId="132" xfId="26" applyNumberFormat="1" applyFont="1" applyFill="1" applyBorder="1" applyAlignment="1">
      <alignment horizontal="right" vertical="center"/>
      <protection/>
    </xf>
    <xf numFmtId="0" fontId="51" fillId="0" borderId="0" xfId="0" applyFont="1" applyAlignment="1">
      <alignment horizontal="left"/>
    </xf>
    <xf numFmtId="0" fontId="39" fillId="0" borderId="0" xfId="0" applyFont="1" applyAlignment="1">
      <alignment horizontal="left"/>
    </xf>
    <xf numFmtId="11" fontId="40" fillId="0" borderId="0" xfId="25" applyNumberFormat="1" applyFont="1" applyAlignment="1">
      <alignment horizontal="centerContinuous"/>
      <protection/>
    </xf>
    <xf numFmtId="11" fontId="51" fillId="0" borderId="0" xfId="0" applyNumberFormat="1" applyFont="1" applyAlignment="1">
      <alignment horizontal="centerContinuous"/>
    </xf>
    <xf numFmtId="11" fontId="41" fillId="0" borderId="0" xfId="25" applyNumberFormat="1" applyFont="1" applyAlignment="1">
      <alignment horizontal="centerContinuous"/>
      <protection/>
    </xf>
    <xf numFmtId="11" fontId="29" fillId="0" borderId="0" xfId="0" applyNumberFormat="1" applyFont="1" applyAlignment="1">
      <alignment horizontal="centerContinuous"/>
    </xf>
    <xf numFmtId="11" fontId="47" fillId="0" borderId="0" xfId="26" applyNumberFormat="1" applyFont="1" applyAlignment="1">
      <alignment horizontal="centerContinuous"/>
      <protection/>
    </xf>
    <xf numFmtId="11" fontId="29" fillId="0" borderId="0" xfId="26" applyNumberFormat="1" applyFont="1" applyAlignment="1">
      <alignment horizontal="centerContinuous"/>
      <protection/>
    </xf>
    <xf numFmtId="0" fontId="29" fillId="0" borderId="0" xfId="26" applyBorder="1" applyAlignment="1">
      <alignment vertical="center"/>
      <protection/>
    </xf>
    <xf numFmtId="0" fontId="29" fillId="0" borderId="0" xfId="26" applyBorder="1">
      <alignment/>
      <protection/>
    </xf>
    <xf numFmtId="0" fontId="28" fillId="0" borderId="0" xfId="26" applyFont="1" applyBorder="1" applyAlignment="1">
      <alignment wrapText="1"/>
      <protection/>
    </xf>
    <xf numFmtId="0" fontId="29" fillId="0" borderId="154" xfId="26" applyBorder="1">
      <alignment/>
      <protection/>
    </xf>
    <xf numFmtId="0" fontId="29" fillId="0" borderId="85" xfId="26" applyBorder="1">
      <alignment/>
      <protection/>
    </xf>
    <xf numFmtId="0" fontId="29" fillId="0" borderId="91" xfId="26" applyBorder="1">
      <alignment/>
      <protection/>
    </xf>
    <xf numFmtId="0" fontId="28" fillId="0" borderId="0" xfId="26" applyFont="1" applyBorder="1" applyAlignment="1">
      <alignment/>
      <protection/>
    </xf>
    <xf numFmtId="0" fontId="29" fillId="0" borderId="0" xfId="26" applyFont="1" applyBorder="1" applyAlignment="1">
      <alignment horizontal="right"/>
      <protection/>
    </xf>
    <xf numFmtId="0" fontId="28" fillId="8" borderId="67" xfId="26" applyFont="1" applyFill="1" applyBorder="1" applyAlignment="1">
      <alignment horizontal="center"/>
      <protection/>
    </xf>
    <xf numFmtId="0" fontId="28" fillId="8" borderId="68" xfId="26" applyFont="1" applyFill="1" applyBorder="1" applyAlignment="1">
      <alignment horizontal="center"/>
      <protection/>
    </xf>
    <xf numFmtId="0" fontId="29" fillId="0" borderId="0" xfId="26" applyBorder="1" applyAlignment="1">
      <alignment horizontal="left" vertical="center"/>
      <protection/>
    </xf>
    <xf numFmtId="3" fontId="29" fillId="0" borderId="0" xfId="26" applyNumberFormat="1" applyBorder="1" applyAlignment="1">
      <alignment horizontal="right"/>
      <protection/>
    </xf>
    <xf numFmtId="0" fontId="0" fillId="0" borderId="0" xfId="0" applyBorder="1" applyAlignment="1">
      <alignment/>
    </xf>
    <xf numFmtId="3" fontId="29" fillId="0" borderId="58" xfId="26" applyNumberFormat="1" applyBorder="1">
      <alignment/>
      <protection/>
    </xf>
    <xf numFmtId="3" fontId="29" fillId="0" borderId="77" xfId="26" applyNumberFormat="1" applyBorder="1">
      <alignment/>
      <protection/>
    </xf>
    <xf numFmtId="3" fontId="29" fillId="0" borderId="77" xfId="26" applyNumberFormat="1" applyBorder="1" applyAlignment="1">
      <alignment horizontal="right"/>
      <protection/>
    </xf>
    <xf numFmtId="3" fontId="29" fillId="0" borderId="78" xfId="26" applyNumberFormat="1" applyBorder="1" applyAlignment="1">
      <alignment horizontal="right"/>
      <protection/>
    </xf>
    <xf numFmtId="3" fontId="29" fillId="0" borderId="0" xfId="28" applyNumberFormat="1" applyFont="1" applyAlignment="1">
      <alignment horizontal="right" vertical="center" wrapText="1"/>
      <protection/>
    </xf>
    <xf numFmtId="0" fontId="80" fillId="0" borderId="0" xfId="28" applyFont="1" applyFill="1" applyAlignment="1" applyProtection="1">
      <alignment horizontal="right" vertical="center" wrapText="1"/>
      <protection/>
    </xf>
    <xf numFmtId="0" fontId="68" fillId="6" borderId="93" xfId="28" applyFont="1" applyFill="1" applyBorder="1" applyAlignment="1">
      <alignment horizontal="left" vertical="center" wrapText="1"/>
      <protection/>
    </xf>
    <xf numFmtId="0" fontId="48" fillId="6" borderId="91" xfId="28" applyFont="1" applyFill="1" applyBorder="1" applyAlignment="1">
      <alignment horizontal="center" vertical="center" wrapText="1"/>
      <protection/>
    </xf>
    <xf numFmtId="0" fontId="48" fillId="6" borderId="29" xfId="28" applyFont="1" applyFill="1" applyBorder="1" applyAlignment="1">
      <alignment vertical="center" wrapText="1"/>
      <protection/>
    </xf>
    <xf numFmtId="0" fontId="48" fillId="6" borderId="93" xfId="28" applyFont="1" applyFill="1" applyBorder="1" applyAlignment="1">
      <alignment vertical="center" wrapText="1"/>
      <protection/>
    </xf>
    <xf numFmtId="0" fontId="28" fillId="0" borderId="78" xfId="28" applyFont="1" applyBorder="1" applyAlignment="1">
      <alignment horizontal="center" vertical="center" wrapText="1"/>
      <protection/>
    </xf>
    <xf numFmtId="0" fontId="29" fillId="0" borderId="12" xfId="0" applyFont="1" applyBorder="1" applyAlignment="1">
      <alignment horizontal="left" vertical="center"/>
    </xf>
    <xf numFmtId="0" fontId="29" fillId="0" borderId="23" xfId="0" applyFont="1" applyBorder="1" applyAlignment="1">
      <alignment horizontal="left" vertical="center"/>
    </xf>
    <xf numFmtId="0" fontId="29" fillId="0" borderId="133" xfId="0" applyFont="1" applyBorder="1" applyAlignment="1">
      <alignment horizontal="left" vertical="center"/>
    </xf>
    <xf numFmtId="0" fontId="28" fillId="0" borderId="76" xfId="28" applyFont="1" applyBorder="1" applyAlignment="1">
      <alignment horizontal="center" vertical="center" wrapText="1"/>
      <protection/>
    </xf>
    <xf numFmtId="3" fontId="29" fillId="0" borderId="110" xfId="28" applyNumberFormat="1" applyFont="1" applyFill="1" applyBorder="1" applyAlignment="1">
      <alignment horizontal="right" vertical="center" wrapText="1"/>
      <protection/>
    </xf>
    <xf numFmtId="3" fontId="29" fillId="0" borderId="109" xfId="28" applyNumberFormat="1" applyFont="1" applyFill="1" applyBorder="1" applyAlignment="1">
      <alignment horizontal="right" vertical="center" wrapText="1"/>
      <protection/>
    </xf>
    <xf numFmtId="3" fontId="29" fillId="0" borderId="71" xfId="28" applyNumberFormat="1" applyFont="1" applyFill="1" applyBorder="1" applyAlignment="1">
      <alignment horizontal="right" vertical="center" wrapText="1"/>
      <protection/>
    </xf>
    <xf numFmtId="3" fontId="29" fillId="0" borderId="59" xfId="28" applyNumberFormat="1" applyFont="1" applyFill="1" applyBorder="1" applyAlignment="1">
      <alignment horizontal="right" vertical="center" wrapText="1"/>
      <protection/>
    </xf>
    <xf numFmtId="3" fontId="29" fillId="0" borderId="20" xfId="28" applyNumberFormat="1" applyFont="1" applyFill="1" applyBorder="1" applyAlignment="1">
      <alignment horizontal="right" vertical="center" wrapText="1"/>
      <protection/>
    </xf>
    <xf numFmtId="3" fontId="29" fillId="0" borderId="115" xfId="28" applyNumberFormat="1" applyFont="1" applyFill="1" applyBorder="1" applyAlignment="1">
      <alignment horizontal="right" vertical="center" wrapText="1"/>
      <protection/>
    </xf>
    <xf numFmtId="0" fontId="68" fillId="0" borderId="30" xfId="28" applyFont="1" applyBorder="1" applyAlignment="1">
      <alignment vertical="center" wrapText="1"/>
      <protection/>
    </xf>
    <xf numFmtId="3" fontId="68" fillId="0" borderId="68" xfId="28" applyNumberFormat="1" applyFont="1" applyBorder="1" applyAlignment="1">
      <alignment vertical="center" wrapText="1"/>
      <protection/>
    </xf>
    <xf numFmtId="0" fontId="68" fillId="0" borderId="28" xfId="28" applyFont="1" applyBorder="1" applyAlignment="1">
      <alignment vertical="center" wrapText="1"/>
      <protection/>
    </xf>
    <xf numFmtId="3" fontId="68" fillId="0" borderId="59" xfId="28" applyNumberFormat="1" applyFont="1" applyBorder="1" applyAlignment="1">
      <alignment vertical="center" wrapText="1"/>
      <protection/>
    </xf>
    <xf numFmtId="3" fontId="68" fillId="0" borderId="88" xfId="28" applyNumberFormat="1" applyFont="1" applyBorder="1" applyAlignment="1">
      <alignment vertical="center" wrapText="1"/>
      <protection/>
    </xf>
    <xf numFmtId="3" fontId="68" fillId="0" borderId="85" xfId="28" applyNumberFormat="1" applyFont="1" applyBorder="1" applyAlignment="1">
      <alignment vertical="center" wrapText="1"/>
      <protection/>
    </xf>
    <xf numFmtId="0" fontId="68" fillId="0" borderId="84" xfId="28" applyFont="1" applyBorder="1" applyAlignment="1">
      <alignment vertical="center" wrapText="1"/>
      <protection/>
    </xf>
    <xf numFmtId="0" fontId="68" fillId="0" borderId="82" xfId="28" applyFont="1" applyBorder="1" applyAlignment="1">
      <alignment vertical="center" wrapText="1"/>
      <protection/>
    </xf>
    <xf numFmtId="0" fontId="68" fillId="0" borderId="157" xfId="28" applyFont="1" applyBorder="1" applyAlignment="1">
      <alignment vertical="center" wrapText="1"/>
      <protection/>
    </xf>
    <xf numFmtId="3" fontId="68" fillId="0" borderId="114" xfId="28" applyNumberFormat="1" applyFont="1" applyBorder="1" applyAlignment="1">
      <alignment vertical="center" wrapText="1"/>
      <protection/>
    </xf>
    <xf numFmtId="3" fontId="68" fillId="0" borderId="115" xfId="28" applyNumberFormat="1" applyFont="1" applyBorder="1" applyAlignment="1">
      <alignment vertical="center" wrapText="1"/>
      <protection/>
    </xf>
    <xf numFmtId="0" fontId="68" fillId="0" borderId="131" xfId="28" applyFont="1" applyBorder="1" applyAlignment="1">
      <alignment vertical="center" wrapText="1"/>
      <protection/>
    </xf>
    <xf numFmtId="3" fontId="68" fillId="0" borderId="154" xfId="28" applyNumberFormat="1" applyFont="1" applyBorder="1" applyAlignment="1">
      <alignment vertical="center" wrapText="1"/>
      <protection/>
    </xf>
    <xf numFmtId="3" fontId="68" fillId="0" borderId="109" xfId="28" applyNumberFormat="1" applyFont="1" applyBorder="1" applyAlignment="1">
      <alignment vertical="center" wrapText="1"/>
      <protection/>
    </xf>
    <xf numFmtId="0" fontId="48" fillId="2" borderId="16" xfId="28" applyFont="1" applyFill="1" applyBorder="1" applyAlignment="1">
      <alignment horizontal="left" vertical="center"/>
      <protection/>
    </xf>
    <xf numFmtId="3" fontId="48" fillId="8" borderId="132" xfId="28" applyNumberFormat="1" applyFont="1" applyFill="1" applyBorder="1" applyAlignment="1">
      <alignment vertical="center" wrapText="1"/>
      <protection/>
    </xf>
    <xf numFmtId="3" fontId="48" fillId="8" borderId="11" xfId="28" applyNumberFormat="1" applyFont="1" applyFill="1" applyBorder="1" applyAlignment="1">
      <alignment vertical="center" wrapText="1"/>
      <protection/>
    </xf>
    <xf numFmtId="0" fontId="68" fillId="0" borderId="155" xfId="28" applyFont="1" applyBorder="1" applyAlignment="1">
      <alignment vertical="center" wrapText="1"/>
      <protection/>
    </xf>
    <xf numFmtId="0" fontId="68" fillId="0" borderId="156" xfId="28" applyFont="1" applyBorder="1" applyAlignment="1">
      <alignment vertical="center" wrapText="1"/>
      <protection/>
    </xf>
    <xf numFmtId="0" fontId="48" fillId="2" borderId="14" xfId="28" applyFont="1" applyFill="1" applyBorder="1" applyAlignment="1">
      <alignment horizontal="left" vertical="center"/>
      <protection/>
    </xf>
    <xf numFmtId="0" fontId="48" fillId="2" borderId="210" xfId="28" applyFont="1" applyFill="1" applyBorder="1" applyAlignment="1">
      <alignment horizontal="left" vertical="center"/>
      <protection/>
    </xf>
    <xf numFmtId="0" fontId="68" fillId="6" borderId="195" xfId="26" applyFont="1" applyFill="1" applyBorder="1">
      <alignment/>
      <protection/>
    </xf>
    <xf numFmtId="0" fontId="68" fillId="6" borderId="160" xfId="26" applyFont="1" applyFill="1" applyBorder="1">
      <alignment/>
      <protection/>
    </xf>
    <xf numFmtId="0" fontId="68" fillId="6" borderId="130" xfId="26" applyFont="1" applyFill="1" applyBorder="1">
      <alignment/>
      <protection/>
    </xf>
    <xf numFmtId="0" fontId="68" fillId="0" borderId="29" xfId="28" applyFont="1" applyBorder="1" applyAlignment="1">
      <alignment vertical="center" wrapText="1"/>
      <protection/>
    </xf>
    <xf numFmtId="3" fontId="68" fillId="0" borderId="78" xfId="28" applyNumberFormat="1" applyFont="1" applyBorder="1" applyAlignment="1">
      <alignment vertical="center" wrapText="1"/>
      <protection/>
    </xf>
    <xf numFmtId="0" fontId="48" fillId="2" borderId="28" xfId="28" applyFont="1" applyFill="1" applyBorder="1" applyAlignment="1">
      <alignment horizontal="left" vertical="center" wrapText="1"/>
      <protection/>
    </xf>
    <xf numFmtId="3" fontId="48" fillId="0" borderId="59" xfId="28" applyNumberFormat="1" applyFont="1" applyFill="1" applyBorder="1" applyAlignment="1">
      <alignment vertical="center" wrapText="1"/>
      <protection/>
    </xf>
    <xf numFmtId="3" fontId="68" fillId="0" borderId="91" xfId="28" applyNumberFormat="1" applyFont="1" applyBorder="1" applyAlignment="1">
      <alignment vertical="center" wrapText="1"/>
      <protection/>
    </xf>
    <xf numFmtId="3" fontId="48" fillId="0" borderId="85" xfId="28" applyNumberFormat="1" applyFont="1" applyFill="1" applyBorder="1" applyAlignment="1">
      <alignment vertical="center" wrapText="1"/>
      <protection/>
    </xf>
    <xf numFmtId="0" fontId="68" fillId="0" borderId="93" xfId="28" applyFont="1" applyBorder="1" applyAlignment="1">
      <alignment vertical="center" wrapText="1"/>
      <protection/>
    </xf>
    <xf numFmtId="0" fontId="48" fillId="2" borderId="82" xfId="28" applyFont="1" applyFill="1" applyBorder="1" applyAlignment="1">
      <alignment horizontal="left" vertical="center" wrapText="1"/>
      <protection/>
    </xf>
    <xf numFmtId="0" fontId="48" fillId="2" borderId="30" xfId="28" applyFont="1" applyFill="1" applyBorder="1" applyAlignment="1">
      <alignment horizontal="left" vertical="center" wrapText="1"/>
      <protection/>
    </xf>
    <xf numFmtId="0" fontId="48" fillId="2" borderId="84" xfId="28" applyFont="1" applyFill="1" applyBorder="1" applyAlignment="1">
      <alignment horizontal="left" vertical="center" wrapText="1"/>
      <protection/>
    </xf>
    <xf numFmtId="3" fontId="48" fillId="0" borderId="88" xfId="28" applyNumberFormat="1" applyFont="1" applyFill="1" applyBorder="1" applyAlignment="1">
      <alignment vertical="center" wrapText="1"/>
      <protection/>
    </xf>
    <xf numFmtId="3" fontId="48" fillId="0" borderId="68" xfId="28" applyNumberFormat="1" applyFont="1" applyFill="1" applyBorder="1" applyAlignment="1">
      <alignment vertical="center" wrapText="1"/>
      <protection/>
    </xf>
    <xf numFmtId="0" fontId="48" fillId="2" borderId="29" xfId="28" applyFont="1" applyFill="1" applyBorder="1" applyAlignment="1">
      <alignment horizontal="left" vertical="center" wrapText="1"/>
      <protection/>
    </xf>
    <xf numFmtId="0" fontId="48" fillId="2" borderId="93" xfId="28" applyFont="1" applyFill="1" applyBorder="1" applyAlignment="1">
      <alignment horizontal="left" vertical="center" wrapText="1"/>
      <protection/>
    </xf>
    <xf numFmtId="3" fontId="48" fillId="0" borderId="91" xfId="28" applyNumberFormat="1" applyFont="1" applyFill="1" applyBorder="1" applyAlignment="1">
      <alignment vertical="center" wrapText="1"/>
      <protection/>
    </xf>
    <xf numFmtId="3" fontId="48" fillId="0" borderId="78" xfId="28" applyNumberFormat="1" applyFont="1" applyFill="1" applyBorder="1" applyAlignment="1">
      <alignment vertical="center" wrapText="1"/>
      <protection/>
    </xf>
    <xf numFmtId="3" fontId="48" fillId="8" borderId="9" xfId="28" applyNumberFormat="1" applyFont="1" applyFill="1" applyBorder="1" applyAlignment="1">
      <alignment vertical="center" wrapText="1"/>
      <protection/>
    </xf>
    <xf numFmtId="0" fontId="48" fillId="2" borderId="162" xfId="28" applyFont="1" applyFill="1" applyBorder="1" applyAlignment="1">
      <alignment horizontal="left" vertical="center"/>
      <protection/>
    </xf>
    <xf numFmtId="0" fontId="54" fillId="0" borderId="28" xfId="28" applyFont="1" applyBorder="1" applyAlignment="1">
      <alignment vertical="center" wrapText="1"/>
      <protection/>
    </xf>
    <xf numFmtId="0" fontId="0" fillId="0" borderId="82" xfId="0" applyBorder="1" applyAlignment="1">
      <alignment vertical="center"/>
    </xf>
    <xf numFmtId="0" fontId="53" fillId="0" borderId="28" xfId="28" applyFont="1" applyBorder="1" applyAlignment="1">
      <alignment vertical="center"/>
      <protection/>
    </xf>
    <xf numFmtId="0" fontId="54" fillId="0" borderId="28" xfId="28" applyFont="1" applyBorder="1" applyAlignment="1">
      <alignment vertical="center"/>
      <protection/>
    </xf>
    <xf numFmtId="3" fontId="54" fillId="0" borderId="71" xfId="28" applyNumberFormat="1" applyFont="1" applyBorder="1" applyAlignment="1" applyProtection="1">
      <alignment vertical="center" wrapText="1"/>
      <protection locked="0"/>
    </xf>
    <xf numFmtId="3" fontId="54" fillId="0" borderId="59" xfId="28" applyNumberFormat="1" applyFont="1" applyBorder="1" applyAlignment="1" applyProtection="1">
      <alignment vertical="center" wrapText="1"/>
      <protection locked="0"/>
    </xf>
    <xf numFmtId="0" fontId="54" fillId="0" borderId="156" xfId="28" applyFont="1" applyBorder="1" applyAlignment="1">
      <alignment vertical="center"/>
      <protection/>
    </xf>
    <xf numFmtId="0" fontId="0" fillId="0" borderId="131" xfId="0" applyBorder="1" applyAlignment="1">
      <alignment vertical="center"/>
    </xf>
    <xf numFmtId="3" fontId="54" fillId="0" borderId="110" xfId="28" applyNumberFormat="1" applyFont="1" applyBorder="1" applyAlignment="1" applyProtection="1">
      <alignment vertical="center" wrapText="1"/>
      <protection locked="0"/>
    </xf>
    <xf numFmtId="3" fontId="54" fillId="0" borderId="109" xfId="28" applyNumberFormat="1" applyFont="1" applyBorder="1" applyAlignment="1" applyProtection="1">
      <alignment vertical="center" wrapText="1"/>
      <protection locked="0"/>
    </xf>
    <xf numFmtId="0" fontId="53" fillId="0" borderId="76" xfId="28" applyFont="1" applyBorder="1" applyAlignment="1">
      <alignment horizontal="center" vertical="center" wrapText="1"/>
      <protection/>
    </xf>
    <xf numFmtId="0" fontId="53" fillId="0" borderId="78" xfId="28" applyFont="1" applyBorder="1" applyAlignment="1">
      <alignment horizontal="center" vertical="center" wrapText="1"/>
      <protection/>
    </xf>
    <xf numFmtId="0" fontId="53" fillId="0" borderId="155" xfId="28" applyFont="1" applyBorder="1" applyAlignment="1">
      <alignment vertical="center"/>
      <protection/>
    </xf>
    <xf numFmtId="0" fontId="0" fillId="0" borderId="157" xfId="0" applyBorder="1" applyAlignment="1">
      <alignment vertical="center"/>
    </xf>
    <xf numFmtId="3" fontId="54" fillId="0" borderId="20" xfId="28" applyNumberFormat="1" applyFont="1" applyBorder="1" applyAlignment="1" applyProtection="1">
      <alignment vertical="center" wrapText="1"/>
      <protection locked="0"/>
    </xf>
    <xf numFmtId="3" fontId="54" fillId="0" borderId="115" xfId="28" applyNumberFormat="1" applyFont="1" applyBorder="1" applyAlignment="1" applyProtection="1">
      <alignment vertical="center" wrapText="1"/>
      <protection locked="0"/>
    </xf>
    <xf numFmtId="3" fontId="53" fillId="8" borderId="9" xfId="28" applyNumberFormat="1" applyFont="1" applyFill="1" applyBorder="1" applyAlignment="1">
      <alignment vertical="center" wrapText="1"/>
      <protection/>
    </xf>
    <xf numFmtId="3" fontId="53" fillId="8" borderId="11" xfId="28" applyNumberFormat="1" applyFont="1" applyFill="1" applyBorder="1" applyAlignment="1">
      <alignment vertical="center" wrapText="1"/>
      <protection/>
    </xf>
    <xf numFmtId="3" fontId="53" fillId="8" borderId="132" xfId="28" applyNumberFormat="1" applyFont="1" applyFill="1" applyBorder="1" applyAlignment="1">
      <alignment vertical="center" wrapText="1"/>
      <protection/>
    </xf>
    <xf numFmtId="0" fontId="68" fillId="0" borderId="195" xfId="28" applyFont="1" applyBorder="1" applyAlignment="1">
      <alignment vertical="center" wrapText="1"/>
      <protection/>
    </xf>
    <xf numFmtId="0" fontId="68" fillId="0" borderId="160" xfId="28" applyFont="1" applyBorder="1" applyAlignment="1">
      <alignment vertical="center" wrapText="1"/>
      <protection/>
    </xf>
    <xf numFmtId="3" fontId="68" fillId="0" borderId="199" xfId="28" applyNumberFormat="1" applyFont="1" applyBorder="1" applyAlignment="1">
      <alignment vertical="center" wrapText="1"/>
      <protection/>
    </xf>
    <xf numFmtId="3" fontId="68" fillId="0" borderId="161" xfId="28" applyNumberFormat="1" applyFont="1" applyBorder="1" applyAlignment="1">
      <alignment vertical="center" wrapText="1"/>
      <protection/>
    </xf>
    <xf numFmtId="0" fontId="28" fillId="8" borderId="30" xfId="26" applyFont="1" applyFill="1" applyBorder="1" applyAlignment="1">
      <alignment vertical="center"/>
      <protection/>
    </xf>
    <xf numFmtId="0" fontId="28" fillId="8" borderId="87" xfId="26" applyFont="1" applyFill="1" applyBorder="1" applyAlignment="1">
      <alignment vertical="center"/>
      <protection/>
    </xf>
    <xf numFmtId="0" fontId="28" fillId="8" borderId="88" xfId="26" applyFont="1" applyFill="1" applyBorder="1" applyAlignment="1">
      <alignment vertical="center"/>
      <protection/>
    </xf>
    <xf numFmtId="0" fontId="28" fillId="8" borderId="85" xfId="26" applyFont="1" applyFill="1" applyBorder="1" applyAlignment="1">
      <alignment vertical="center"/>
      <protection/>
    </xf>
    <xf numFmtId="0" fontId="41" fillId="2" borderId="100" xfId="28" applyFont="1" applyFill="1" applyBorder="1" applyAlignment="1">
      <alignment vertical="center"/>
      <protection/>
    </xf>
    <xf numFmtId="0" fontId="41" fillId="2" borderId="23" xfId="28" applyFont="1" applyFill="1" applyBorder="1" applyAlignment="1">
      <alignment vertical="center"/>
      <protection/>
    </xf>
    <xf numFmtId="0" fontId="41" fillId="2" borderId="23" xfId="26" applyFont="1" applyFill="1" applyBorder="1" applyAlignment="1">
      <alignment vertical="center"/>
      <protection/>
    </xf>
    <xf numFmtId="0" fontId="41" fillId="2" borderId="133" xfId="28" applyFont="1" applyFill="1" applyBorder="1" applyAlignment="1">
      <alignment vertical="center"/>
      <protection/>
    </xf>
    <xf numFmtId="0" fontId="41" fillId="2" borderId="12" xfId="26" applyFont="1" applyFill="1" applyBorder="1" applyAlignment="1">
      <alignment vertical="center"/>
      <protection/>
    </xf>
    <xf numFmtId="3" fontId="29" fillId="0" borderId="57" xfId="26" applyNumberFormat="1" applyFont="1" applyBorder="1" applyAlignment="1">
      <alignment horizontal="right"/>
      <protection/>
    </xf>
    <xf numFmtId="3" fontId="29" fillId="0" borderId="31" xfId="26" applyNumberFormat="1" applyFont="1" applyBorder="1" applyAlignment="1">
      <alignment horizontal="right"/>
      <protection/>
    </xf>
    <xf numFmtId="3" fontId="29" fillId="0" borderId="211" xfId="26" applyNumberFormat="1" applyFont="1" applyBorder="1" applyAlignment="1">
      <alignment horizontal="right"/>
      <protection/>
    </xf>
    <xf numFmtId="0" fontId="38" fillId="0" borderId="0" xfId="26" applyFont="1" applyAlignment="1">
      <alignment/>
      <protection/>
    </xf>
    <xf numFmtId="0" fontId="48" fillId="0" borderId="91" xfId="28" applyFont="1" applyBorder="1" applyAlignment="1">
      <alignment horizontal="center" vertical="center" wrapText="1"/>
      <protection/>
    </xf>
    <xf numFmtId="3" fontId="48" fillId="8" borderId="189" xfId="28" applyNumberFormat="1" applyFont="1" applyFill="1" applyBorder="1" applyAlignment="1">
      <alignment horizontal="right" vertical="center" wrapText="1"/>
      <protection/>
    </xf>
    <xf numFmtId="0" fontId="68" fillId="0" borderId="193" xfId="28" applyFont="1" applyBorder="1" applyAlignment="1">
      <alignment vertical="center" wrapText="1"/>
      <protection/>
    </xf>
    <xf numFmtId="0" fontId="68" fillId="0" borderId="198" xfId="28" applyFont="1" applyBorder="1" applyAlignment="1">
      <alignment vertical="center" wrapText="1"/>
      <protection/>
    </xf>
    <xf numFmtId="3" fontId="68" fillId="0" borderId="128" xfId="28" applyNumberFormat="1" applyFont="1" applyBorder="1" applyAlignment="1">
      <alignment horizontal="right" vertical="center" wrapText="1"/>
      <protection/>
    </xf>
    <xf numFmtId="3" fontId="68" fillId="0" borderId="129" xfId="28" applyNumberFormat="1" applyFont="1" applyBorder="1" applyAlignment="1">
      <alignment horizontal="right" vertical="center" wrapText="1"/>
      <protection/>
    </xf>
    <xf numFmtId="0" fontId="68" fillId="2" borderId="212" xfId="28" applyFont="1" applyFill="1" applyBorder="1" applyAlignment="1">
      <alignment horizontal="left" vertical="center"/>
      <protection/>
    </xf>
    <xf numFmtId="0" fontId="68" fillId="2" borderId="213" xfId="28" applyFont="1" applyFill="1" applyBorder="1" applyAlignment="1">
      <alignment horizontal="left" vertical="center"/>
      <protection/>
    </xf>
    <xf numFmtId="3" fontId="48" fillId="2" borderId="214" xfId="28" applyNumberFormat="1" applyFont="1" applyFill="1" applyBorder="1" applyAlignment="1">
      <alignment horizontal="right" vertical="center" wrapText="1"/>
      <protection/>
    </xf>
    <xf numFmtId="3" fontId="48" fillId="2" borderId="215" xfId="28" applyNumberFormat="1" applyFont="1" applyFill="1" applyBorder="1" applyAlignment="1">
      <alignment horizontal="right" vertical="center" wrapText="1"/>
      <protection/>
    </xf>
    <xf numFmtId="3" fontId="48" fillId="2" borderId="148" xfId="28" applyNumberFormat="1" applyFont="1" applyFill="1" applyBorder="1" applyAlignment="1">
      <alignment horizontal="right" vertical="center" wrapText="1"/>
      <protection/>
    </xf>
    <xf numFmtId="0" fontId="29" fillId="0" borderId="0" xfId="26" applyFont="1">
      <alignment/>
      <protection/>
    </xf>
    <xf numFmtId="3" fontId="68" fillId="8" borderId="202" xfId="28" applyNumberFormat="1" applyFont="1" applyFill="1" applyBorder="1" applyAlignment="1" applyProtection="1">
      <alignment horizontal="right" vertical="center"/>
      <protection/>
    </xf>
    <xf numFmtId="0" fontId="48" fillId="2" borderId="193" xfId="28" applyFont="1" applyFill="1" applyBorder="1" applyAlignment="1">
      <alignment vertical="center" wrapText="1"/>
      <protection/>
    </xf>
    <xf numFmtId="0" fontId="68" fillId="2" borderId="86" xfId="28" applyFont="1" applyFill="1" applyBorder="1" applyAlignment="1">
      <alignment vertical="center" wrapText="1"/>
      <protection/>
    </xf>
    <xf numFmtId="3" fontId="29" fillId="15" borderId="154" xfId="26" applyNumberFormat="1" applyFont="1" applyFill="1" applyBorder="1">
      <alignment/>
      <protection/>
    </xf>
    <xf numFmtId="3" fontId="29" fillId="15" borderId="108" xfId="26" applyNumberFormat="1" applyFont="1" applyFill="1" applyBorder="1">
      <alignment/>
      <protection/>
    </xf>
    <xf numFmtId="3" fontId="29" fillId="15" borderId="109" xfId="26" applyNumberFormat="1" applyFont="1" applyFill="1" applyBorder="1">
      <alignment/>
      <protection/>
    </xf>
    <xf numFmtId="3" fontId="29" fillId="13" borderId="58" xfId="26" applyNumberFormat="1" applyFont="1" applyFill="1" applyBorder="1">
      <alignment/>
      <protection/>
    </xf>
    <xf numFmtId="3" fontId="29" fillId="0" borderId="112" xfId="26" applyNumberFormat="1" applyFont="1" applyBorder="1">
      <alignment/>
      <protection/>
    </xf>
    <xf numFmtId="3" fontId="28" fillId="13" borderId="10" xfId="26" applyNumberFormat="1" applyFont="1" applyFill="1" applyBorder="1">
      <alignment/>
      <protection/>
    </xf>
    <xf numFmtId="3" fontId="28" fillId="13" borderId="11" xfId="26" applyNumberFormat="1" applyFont="1" applyFill="1" applyBorder="1">
      <alignment/>
      <protection/>
    </xf>
    <xf numFmtId="0" fontId="28" fillId="6" borderId="0" xfId="28" applyFont="1" applyFill="1" applyBorder="1" applyAlignment="1">
      <alignment vertical="center"/>
      <protection/>
    </xf>
    <xf numFmtId="0" fontId="28" fillId="6" borderId="0" xfId="0" applyFont="1" applyFill="1" applyBorder="1" applyAlignment="1">
      <alignment vertical="center"/>
    </xf>
    <xf numFmtId="0" fontId="29" fillId="6" borderId="0" xfId="23" applyFont="1" applyFill="1" applyBorder="1" applyAlignment="1">
      <alignment horizontal="right"/>
      <protection/>
    </xf>
    <xf numFmtId="0" fontId="28" fillId="6" borderId="0" xfId="28" applyFont="1" applyFill="1" applyBorder="1" applyAlignment="1">
      <alignment vertical="center" wrapText="1"/>
      <protection/>
    </xf>
    <xf numFmtId="0" fontId="48" fillId="6" borderId="76" xfId="0" applyFont="1" applyFill="1" applyBorder="1" applyAlignment="1">
      <alignment horizontal="center" vertical="center" wrapText="1"/>
    </xf>
    <xf numFmtId="0" fontId="48" fillId="6" borderId="77" xfId="0" applyFont="1" applyFill="1" applyBorder="1" applyAlignment="1">
      <alignment horizontal="center" vertical="center" wrapText="1"/>
    </xf>
    <xf numFmtId="0" fontId="48" fillId="6" borderId="78" xfId="0" applyFont="1" applyFill="1" applyBorder="1" applyAlignment="1">
      <alignment horizontal="center" vertical="center" wrapText="1"/>
    </xf>
    <xf numFmtId="3" fontId="68" fillId="6" borderId="66" xfId="28" applyNumberFormat="1" applyFont="1" applyFill="1" applyBorder="1" applyAlignment="1">
      <alignment horizontal="center" vertical="center" wrapText="1"/>
      <protection/>
    </xf>
    <xf numFmtId="3" fontId="68" fillId="6" borderId="68" xfId="28" applyNumberFormat="1" applyFont="1" applyFill="1" applyBorder="1" applyAlignment="1">
      <alignment horizontal="center" vertical="center" wrapText="1"/>
      <protection/>
    </xf>
    <xf numFmtId="3" fontId="68" fillId="6" borderId="66" xfId="0" applyNumberFormat="1" applyFont="1" applyFill="1" applyBorder="1" applyAlignment="1">
      <alignment horizontal="center" vertical="center" wrapText="1"/>
    </xf>
    <xf numFmtId="3" fontId="68" fillId="6" borderId="67" xfId="0" applyNumberFormat="1" applyFont="1" applyFill="1" applyBorder="1" applyAlignment="1">
      <alignment horizontal="center" vertical="center" wrapText="1"/>
    </xf>
    <xf numFmtId="3" fontId="68" fillId="8" borderId="68" xfId="0" applyNumberFormat="1" applyFont="1" applyFill="1" applyBorder="1" applyAlignment="1">
      <alignment horizontal="center" vertical="center" wrapText="1"/>
    </xf>
    <xf numFmtId="3" fontId="68" fillId="8" borderId="66" xfId="28" applyNumberFormat="1" applyFont="1" applyFill="1" applyBorder="1" applyAlignment="1">
      <alignment horizontal="center" vertical="center" wrapText="1"/>
      <protection/>
    </xf>
    <xf numFmtId="3" fontId="68" fillId="8" borderId="68" xfId="28" applyNumberFormat="1" applyFont="1" applyFill="1" applyBorder="1" applyAlignment="1">
      <alignment horizontal="center" vertical="center" wrapText="1"/>
      <protection/>
    </xf>
    <xf numFmtId="3" fontId="68" fillId="6" borderId="71" xfId="28" applyNumberFormat="1" applyFont="1" applyFill="1" applyBorder="1" applyAlignment="1">
      <alignment horizontal="center" vertical="center" wrapText="1"/>
      <protection/>
    </xf>
    <xf numFmtId="3" fontId="68" fillId="6" borderId="59" xfId="28" applyNumberFormat="1" applyFont="1" applyFill="1" applyBorder="1" applyAlignment="1">
      <alignment horizontal="center" vertical="center" wrapText="1"/>
      <protection/>
    </xf>
    <xf numFmtId="3" fontId="68" fillId="6" borderId="71" xfId="0" applyNumberFormat="1" applyFont="1" applyFill="1" applyBorder="1" applyAlignment="1">
      <alignment horizontal="center" vertical="center" wrapText="1"/>
    </xf>
    <xf numFmtId="3" fontId="68" fillId="6" borderId="58" xfId="0" applyNumberFormat="1" applyFont="1" applyFill="1" applyBorder="1" applyAlignment="1">
      <alignment horizontal="center" vertical="center" wrapText="1"/>
    </xf>
    <xf numFmtId="3" fontId="68" fillId="8" borderId="59" xfId="0" applyNumberFormat="1" applyFont="1" applyFill="1" applyBorder="1" applyAlignment="1">
      <alignment horizontal="center" vertical="center" wrapText="1"/>
    </xf>
    <xf numFmtId="3" fontId="68" fillId="8" borderId="71" xfId="28" applyNumberFormat="1" applyFont="1" applyFill="1" applyBorder="1" applyAlignment="1">
      <alignment horizontal="center" vertical="center" wrapText="1"/>
      <protection/>
    </xf>
    <xf numFmtId="3" fontId="68" fillId="8" borderId="59" xfId="28" applyNumberFormat="1" applyFont="1" applyFill="1" applyBorder="1" applyAlignment="1">
      <alignment horizontal="center" vertical="center" wrapText="1"/>
      <protection/>
    </xf>
    <xf numFmtId="3" fontId="68" fillId="6" borderId="76" xfId="0" applyNumberFormat="1" applyFont="1" applyFill="1" applyBorder="1" applyAlignment="1">
      <alignment horizontal="center" vertical="center" wrapText="1"/>
    </xf>
    <xf numFmtId="3" fontId="68" fillId="6" borderId="77" xfId="0" applyNumberFormat="1" applyFont="1" applyFill="1" applyBorder="1" applyAlignment="1">
      <alignment horizontal="center" vertical="center" wrapText="1"/>
    </xf>
    <xf numFmtId="3" fontId="68" fillId="8" borderId="78" xfId="0" applyNumberFormat="1" applyFont="1" applyFill="1" applyBorder="1" applyAlignment="1">
      <alignment horizontal="center" vertical="center" wrapText="1"/>
    </xf>
    <xf numFmtId="3" fontId="68" fillId="8" borderId="76" xfId="28" applyNumberFormat="1" applyFont="1" applyFill="1" applyBorder="1" applyAlignment="1">
      <alignment horizontal="center" vertical="center" wrapText="1"/>
      <protection/>
    </xf>
    <xf numFmtId="3" fontId="68" fillId="8" borderId="78" xfId="28" applyNumberFormat="1" applyFont="1" applyFill="1" applyBorder="1" applyAlignment="1">
      <alignment horizontal="center" vertical="center" wrapText="1"/>
      <protection/>
    </xf>
    <xf numFmtId="3" fontId="48" fillId="8" borderId="9" xfId="28" applyNumberFormat="1" applyFont="1" applyFill="1" applyBorder="1" applyAlignment="1">
      <alignment horizontal="center" vertical="center" wrapText="1"/>
      <protection/>
    </xf>
    <xf numFmtId="3" fontId="48" fillId="8" borderId="11" xfId="28" applyNumberFormat="1" applyFont="1" applyFill="1" applyBorder="1" applyAlignment="1">
      <alignment horizontal="center" vertical="center" wrapText="1"/>
      <protection/>
    </xf>
    <xf numFmtId="3" fontId="48" fillId="8" borderId="10" xfId="0" applyNumberFormat="1" applyFont="1" applyFill="1" applyBorder="1" applyAlignment="1">
      <alignment horizontal="center" vertical="center" wrapText="1"/>
    </xf>
    <xf numFmtId="0" fontId="68" fillId="6" borderId="84" xfId="0" applyFont="1" applyFill="1" applyBorder="1" applyAlignment="1">
      <alignment/>
    </xf>
    <xf numFmtId="0" fontId="68" fillId="8" borderId="66" xfId="0" applyFont="1" applyFill="1" applyBorder="1" applyAlignment="1">
      <alignment vertical="center" wrapText="1"/>
    </xf>
    <xf numFmtId="0" fontId="68" fillId="8" borderId="67" xfId="0" applyFont="1" applyFill="1" applyBorder="1" applyAlignment="1">
      <alignment vertical="center" wrapText="1"/>
    </xf>
    <xf numFmtId="0" fontId="68" fillId="8" borderId="68" xfId="0" applyFont="1" applyFill="1" applyBorder="1" applyAlignment="1">
      <alignment vertical="center" wrapText="1"/>
    </xf>
    <xf numFmtId="0" fontId="68" fillId="8" borderId="71" xfId="0" applyFont="1" applyFill="1" applyBorder="1" applyAlignment="1">
      <alignment vertical="center" wrapText="1"/>
    </xf>
    <xf numFmtId="0" fontId="68" fillId="8" borderId="58" xfId="0" applyFont="1" applyFill="1" applyBorder="1" applyAlignment="1">
      <alignment vertical="center" wrapText="1"/>
    </xf>
    <xf numFmtId="0" fontId="68" fillId="8" borderId="59" xfId="0" applyFont="1" applyFill="1" applyBorder="1" applyAlignment="1">
      <alignment vertical="center" wrapText="1"/>
    </xf>
    <xf numFmtId="3" fontId="68" fillId="6" borderId="76" xfId="28" applyNumberFormat="1" applyFont="1" applyFill="1" applyBorder="1" applyAlignment="1">
      <alignment horizontal="center" vertical="center" wrapText="1"/>
      <protection/>
    </xf>
    <xf numFmtId="3" fontId="68" fillId="6" borderId="78" xfId="28" applyNumberFormat="1" applyFont="1" applyFill="1" applyBorder="1" applyAlignment="1">
      <alignment horizontal="center" vertical="center" wrapText="1"/>
      <protection/>
    </xf>
    <xf numFmtId="0" fontId="68" fillId="8" borderId="76" xfId="0" applyFont="1" applyFill="1" applyBorder="1" applyAlignment="1">
      <alignment vertical="center" wrapText="1"/>
    </xf>
    <xf numFmtId="0" fontId="68" fillId="8" borderId="77" xfId="0" applyFont="1" applyFill="1" applyBorder="1" applyAlignment="1">
      <alignment vertical="center" wrapText="1"/>
    </xf>
    <xf numFmtId="0" fontId="68" fillId="8" borderId="78" xfId="0" applyFont="1" applyFill="1" applyBorder="1" applyAlignment="1">
      <alignment vertical="center" wrapText="1"/>
    </xf>
    <xf numFmtId="0" fontId="48" fillId="8" borderId="9" xfId="0" applyFont="1" applyFill="1" applyBorder="1" applyAlignment="1">
      <alignment vertical="center" wrapText="1"/>
    </xf>
    <xf numFmtId="0" fontId="48" fillId="8" borderId="10" xfId="0" applyFont="1" applyFill="1" applyBorder="1" applyAlignment="1">
      <alignment vertical="center" wrapText="1"/>
    </xf>
    <xf numFmtId="0" fontId="48" fillId="8" borderId="11" xfId="0" applyFont="1" applyFill="1" applyBorder="1" applyAlignment="1">
      <alignment vertical="center" wrapText="1"/>
    </xf>
    <xf numFmtId="3" fontId="68" fillId="6" borderId="0" xfId="28" applyNumberFormat="1" applyFont="1" applyFill="1" applyAlignment="1">
      <alignment vertical="center" wrapText="1"/>
      <protection/>
    </xf>
    <xf numFmtId="0" fontId="68" fillId="6" borderId="0" xfId="0" applyFont="1" applyFill="1" applyAlignment="1">
      <alignment vertical="center" wrapText="1"/>
    </xf>
    <xf numFmtId="3" fontId="48" fillId="8" borderId="162" xfId="28" applyNumberFormat="1" applyFont="1" applyFill="1" applyBorder="1" applyAlignment="1">
      <alignment horizontal="center" vertical="center" wrapText="1"/>
      <protection/>
    </xf>
    <xf numFmtId="3" fontId="48" fillId="8" borderId="132" xfId="28" applyNumberFormat="1" applyFont="1" applyFill="1" applyBorder="1" applyAlignment="1">
      <alignment horizontal="center" vertical="center" wrapText="1"/>
      <protection/>
    </xf>
    <xf numFmtId="3" fontId="48" fillId="8" borderId="3" xfId="28" applyNumberFormat="1" applyFont="1" applyFill="1" applyBorder="1" applyAlignment="1">
      <alignment horizontal="center" vertical="center" wrapText="1"/>
      <protection/>
    </xf>
    <xf numFmtId="0" fontId="41" fillId="2" borderId="216" xfId="28" applyFont="1" applyFill="1" applyBorder="1" applyAlignment="1">
      <alignment vertical="center"/>
      <protection/>
    </xf>
    <xf numFmtId="0" fontId="41" fillId="2" borderId="28" xfId="28" applyFont="1" applyFill="1" applyBorder="1" applyAlignment="1">
      <alignment vertical="center"/>
      <protection/>
    </xf>
    <xf numFmtId="0" fontId="41" fillId="2" borderId="28" xfId="26" applyFont="1" applyFill="1" applyBorder="1" applyAlignment="1">
      <alignment vertical="center"/>
      <protection/>
    </xf>
    <xf numFmtId="0" fontId="41" fillId="2" borderId="155" xfId="28" applyFont="1" applyFill="1" applyBorder="1" applyAlignment="1">
      <alignment vertical="center"/>
      <protection/>
    </xf>
    <xf numFmtId="0" fontId="41" fillId="2" borderId="156" xfId="26" applyFont="1" applyFill="1" applyBorder="1" applyAlignment="1">
      <alignment vertical="center"/>
      <protection/>
    </xf>
    <xf numFmtId="0" fontId="47" fillId="0" borderId="0" xfId="0" applyFont="1" applyAlignment="1">
      <alignment horizontal="centerContinuous" vertical="center"/>
    </xf>
    <xf numFmtId="0" fontId="0" fillId="0" borderId="34" xfId="0" applyBorder="1" applyAlignment="1" applyProtection="1">
      <alignment horizontal="center" vertical="center" wrapText="1"/>
      <protection/>
    </xf>
    <xf numFmtId="0" fontId="0" fillId="0" borderId="82" xfId="0" applyBorder="1" applyAlignment="1" applyProtection="1">
      <alignment vertical="center" wrapText="1"/>
      <protection/>
    </xf>
    <xf numFmtId="3" fontId="0" fillId="0" borderId="71" xfId="0" applyNumberFormat="1" applyFont="1" applyBorder="1" applyAlignment="1" applyProtection="1">
      <alignment horizontal="right" vertical="center"/>
      <protection locked="0"/>
    </xf>
    <xf numFmtId="3" fontId="0" fillId="0" borderId="59" xfId="0" applyNumberFormat="1" applyFont="1" applyBorder="1" applyAlignment="1" applyProtection="1">
      <alignment vertical="center"/>
      <protection locked="0"/>
    </xf>
    <xf numFmtId="49" fontId="31" fillId="8" borderId="71" xfId="0" applyNumberFormat="1" applyFont="1" applyFill="1" applyBorder="1" applyAlignment="1" applyProtection="1">
      <alignment horizontal="center" vertical="center"/>
      <protection/>
    </xf>
    <xf numFmtId="0" fontId="31" fillId="8" borderId="34" xfId="0" applyFont="1" applyFill="1" applyBorder="1" applyAlignment="1" applyProtection="1">
      <alignment horizontal="left" vertical="center"/>
      <protection/>
    </xf>
    <xf numFmtId="0" fontId="31" fillId="8" borderId="82" xfId="0" applyFont="1" applyFill="1" applyBorder="1" applyAlignment="1" applyProtection="1">
      <alignment vertical="center" wrapText="1"/>
      <protection/>
    </xf>
    <xf numFmtId="3" fontId="14" fillId="8" borderId="71" xfId="0" applyNumberFormat="1" applyFont="1" applyFill="1" applyBorder="1" applyAlignment="1" applyProtection="1">
      <alignment horizontal="right" vertical="center"/>
      <protection/>
    </xf>
    <xf numFmtId="3" fontId="14" fillId="8" borderId="59" xfId="0" applyNumberFormat="1" applyFont="1" applyFill="1" applyBorder="1" applyAlignment="1" applyProtection="1">
      <alignment horizontal="right" vertical="center"/>
      <protection/>
    </xf>
    <xf numFmtId="0" fontId="15" fillId="8" borderId="34" xfId="0" applyFont="1" applyFill="1" applyBorder="1" applyAlignment="1" applyProtection="1">
      <alignment horizontal="left" vertical="center"/>
      <protection/>
    </xf>
    <xf numFmtId="3" fontId="15" fillId="8" borderId="71" xfId="0" applyNumberFormat="1" applyFont="1" applyFill="1" applyBorder="1" applyAlignment="1" applyProtection="1">
      <alignment horizontal="right" vertical="center"/>
      <protection/>
    </xf>
    <xf numFmtId="3" fontId="15" fillId="8" borderId="59" xfId="0" applyNumberFormat="1" applyFont="1" applyFill="1" applyBorder="1" applyAlignment="1" applyProtection="1">
      <alignment horizontal="right" vertical="center"/>
      <protection/>
    </xf>
    <xf numFmtId="0" fontId="0" fillId="0" borderId="92" xfId="0" applyBorder="1" applyAlignment="1" applyProtection="1">
      <alignment horizontal="center" vertical="center" wrapText="1"/>
      <protection/>
    </xf>
    <xf numFmtId="0" fontId="0" fillId="0" borderId="93" xfId="0" applyBorder="1" applyAlignment="1" applyProtection="1">
      <alignment vertical="center" wrapText="1"/>
      <protection/>
    </xf>
    <xf numFmtId="3" fontId="0" fillId="0" borderId="76" xfId="0" applyNumberFormat="1" applyFont="1" applyBorder="1" applyAlignment="1" applyProtection="1">
      <alignment horizontal="right" vertical="center"/>
      <protection locked="0"/>
    </xf>
    <xf numFmtId="3" fontId="0" fillId="0" borderId="78" xfId="0" applyNumberFormat="1" applyFont="1" applyBorder="1" applyAlignment="1" applyProtection="1">
      <alignment vertical="center"/>
      <protection locked="0"/>
    </xf>
    <xf numFmtId="0" fontId="0" fillId="16" borderId="0" xfId="0" applyFill="1" applyAlignment="1" applyProtection="1">
      <alignment vertical="center"/>
      <protection/>
    </xf>
    <xf numFmtId="0" fontId="0" fillId="0" borderId="0" xfId="0" applyFill="1" applyAlignment="1" applyProtection="1">
      <alignment vertical="center"/>
      <protection/>
    </xf>
    <xf numFmtId="3" fontId="15" fillId="8" borderId="11" xfId="0" applyNumberFormat="1" applyFont="1" applyFill="1" applyBorder="1" applyAlignment="1" applyProtection="1">
      <alignment horizontal="right" vertical="center"/>
      <protection/>
    </xf>
    <xf numFmtId="0" fontId="6" fillId="8" borderId="162" xfId="0" applyFont="1" applyFill="1" applyBorder="1" applyAlignment="1" applyProtection="1">
      <alignment horizontal="centerContinuous" vertical="center" wrapText="1"/>
      <protection/>
    </xf>
    <xf numFmtId="1" fontId="6" fillId="8" borderId="33" xfId="0" applyNumberFormat="1" applyFont="1" applyFill="1" applyBorder="1" applyAlignment="1" applyProtection="1">
      <alignment horizontal="centerContinuous" vertical="center" wrapText="1"/>
      <protection/>
    </xf>
    <xf numFmtId="0" fontId="81" fillId="0" borderId="0" xfId="26" applyFont="1" applyAlignment="1">
      <alignment horizontal="center"/>
      <protection/>
    </xf>
    <xf numFmtId="0" fontId="81" fillId="0" borderId="0" xfId="26" applyFont="1" applyAlignment="1">
      <alignment horizontal="center" vertical="center"/>
      <protection/>
    </xf>
    <xf numFmtId="3" fontId="48" fillId="0" borderId="162" xfId="28" applyNumberFormat="1" applyFont="1" applyFill="1" applyBorder="1" applyAlignment="1">
      <alignment horizontal="right" vertical="center" wrapText="1"/>
      <protection/>
    </xf>
    <xf numFmtId="3" fontId="68" fillId="0" borderId="84" xfId="28" applyNumberFormat="1" applyFont="1" applyFill="1" applyBorder="1" applyAlignment="1">
      <alignment horizontal="right" vertical="center" wrapText="1"/>
      <protection/>
    </xf>
    <xf numFmtId="3" fontId="68" fillId="0" borderId="82" xfId="28" applyNumberFormat="1" applyFont="1" applyFill="1" applyBorder="1" applyAlignment="1">
      <alignment horizontal="right" vertical="center" wrapText="1"/>
      <protection/>
    </xf>
    <xf numFmtId="3" fontId="68" fillId="0" borderId="93" xfId="28" applyNumberFormat="1" applyFont="1" applyFill="1" applyBorder="1" applyAlignment="1">
      <alignment horizontal="right" vertical="center" wrapText="1"/>
      <protection/>
    </xf>
    <xf numFmtId="0" fontId="48" fillId="6" borderId="9" xfId="28" applyFont="1" applyFill="1" applyBorder="1" applyAlignment="1">
      <alignment horizontal="center" vertical="center" wrapText="1"/>
      <protection/>
    </xf>
    <xf numFmtId="3" fontId="48" fillId="0" borderId="9" xfId="28" applyNumberFormat="1" applyFont="1" applyFill="1" applyBorder="1" applyAlignment="1">
      <alignment horizontal="right" vertical="center" wrapText="1"/>
      <protection/>
    </xf>
    <xf numFmtId="3" fontId="68" fillId="0" borderId="66" xfId="28" applyNumberFormat="1" applyFont="1" applyFill="1" applyBorder="1" applyAlignment="1">
      <alignment horizontal="right" vertical="center" wrapText="1"/>
      <protection/>
    </xf>
    <xf numFmtId="3" fontId="68" fillId="0" borderId="71" xfId="28" applyNumberFormat="1" applyFont="1" applyFill="1" applyBorder="1" applyAlignment="1">
      <alignment horizontal="right" vertical="center" wrapText="1"/>
      <protection/>
    </xf>
    <xf numFmtId="3" fontId="68" fillId="0" borderId="76" xfId="28" applyNumberFormat="1" applyFont="1" applyFill="1" applyBorder="1" applyAlignment="1">
      <alignment horizontal="right" vertical="center" wrapText="1"/>
      <protection/>
    </xf>
    <xf numFmtId="0" fontId="81" fillId="6" borderId="0" xfId="28" applyFont="1" applyFill="1" applyAlignment="1">
      <alignment horizontal="center" vertical="center" wrapText="1"/>
      <protection/>
    </xf>
    <xf numFmtId="0" fontId="0" fillId="2" borderId="85" xfId="0" applyFill="1" applyBorder="1" applyAlignment="1" applyProtection="1">
      <alignment/>
      <protection locked="0"/>
    </xf>
    <xf numFmtId="49" fontId="0" fillId="2" borderId="85" xfId="0" applyNumberFormat="1" applyFill="1" applyBorder="1" applyAlignment="1" applyProtection="1">
      <alignment horizontal="left"/>
      <protection locked="0"/>
    </xf>
    <xf numFmtId="0" fontId="28" fillId="0" borderId="9" xfId="28" applyFont="1" applyBorder="1" applyAlignment="1">
      <alignment horizontal="center" vertical="center" wrapText="1"/>
      <protection/>
    </xf>
    <xf numFmtId="0" fontId="28" fillId="0" borderId="11" xfId="28" applyFont="1" applyBorder="1" applyAlignment="1">
      <alignment horizontal="center" vertical="center" wrapText="1"/>
      <protection/>
    </xf>
    <xf numFmtId="3" fontId="29" fillId="0" borderId="131" xfId="28" applyNumberFormat="1" applyFont="1" applyBorder="1" applyAlignment="1">
      <alignment horizontal="right" vertical="center" wrapText="1"/>
      <protection/>
    </xf>
    <xf numFmtId="3" fontId="29" fillId="0" borderId="82" xfId="28" applyNumberFormat="1" applyFont="1" applyBorder="1" applyAlignment="1">
      <alignment horizontal="right" vertical="center" wrapText="1"/>
      <protection/>
    </xf>
    <xf numFmtId="3" fontId="29" fillId="0" borderId="157" xfId="28" applyNumberFormat="1" applyFont="1" applyBorder="1" applyAlignment="1">
      <alignment horizontal="right" vertical="center" wrapText="1"/>
      <protection/>
    </xf>
    <xf numFmtId="3" fontId="28" fillId="8" borderId="82" xfId="26" applyNumberFormat="1" applyFont="1" applyFill="1" applyBorder="1" applyAlignment="1">
      <alignment horizontal="right"/>
      <protection/>
    </xf>
    <xf numFmtId="3" fontId="29" fillId="0" borderId="82" xfId="26" applyNumberFormat="1" applyFont="1" applyBorder="1" applyAlignment="1">
      <alignment horizontal="right"/>
      <protection/>
    </xf>
    <xf numFmtId="0" fontId="48" fillId="6" borderId="11" xfId="28" applyFont="1" applyFill="1" applyBorder="1" applyAlignment="1">
      <alignment horizontal="center" vertical="center" wrapText="1"/>
      <protection/>
    </xf>
    <xf numFmtId="0" fontId="82" fillId="6" borderId="0" xfId="28" applyFont="1" applyFill="1" applyAlignment="1">
      <alignment horizontal="center" vertical="center" wrapText="1"/>
      <protection/>
    </xf>
    <xf numFmtId="0" fontId="34" fillId="2" borderId="0" xfId="0" applyFont="1" applyFill="1" applyBorder="1" applyAlignment="1" applyProtection="1">
      <alignment horizontal="left"/>
      <protection/>
    </xf>
    <xf numFmtId="49" fontId="29" fillId="2" borderId="0" xfId="0" applyNumberFormat="1" applyFont="1" applyFill="1" applyBorder="1" applyAlignment="1" applyProtection="1">
      <alignment horizontal="right"/>
      <protection/>
    </xf>
    <xf numFmtId="0" fontId="29" fillId="2" borderId="0" xfId="0" applyFont="1" applyFill="1" applyBorder="1" applyAlignment="1" applyProtection="1">
      <alignment horizontal="centerContinuous"/>
      <protection/>
    </xf>
    <xf numFmtId="0" fontId="29" fillId="2" borderId="0" xfId="0" applyFont="1" applyFill="1" applyBorder="1" applyAlignment="1" applyProtection="1">
      <alignment/>
      <protection/>
    </xf>
    <xf numFmtId="49" fontId="29" fillId="2" borderId="0" xfId="0" applyNumberFormat="1" applyFont="1" applyFill="1" applyBorder="1" applyAlignment="1" applyProtection="1">
      <alignment/>
      <protection/>
    </xf>
    <xf numFmtId="49" fontId="29" fillId="0" borderId="0" xfId="0" applyNumberFormat="1" applyFont="1" applyFill="1" applyBorder="1" applyAlignment="1" applyProtection="1">
      <alignment horizontal="right"/>
      <protection/>
    </xf>
    <xf numFmtId="0" fontId="29" fillId="2" borderId="0" xfId="0" applyFont="1" applyFill="1" applyBorder="1" applyAlignment="1" applyProtection="1">
      <alignment horizontal="right"/>
      <protection/>
    </xf>
    <xf numFmtId="0" fontId="28" fillId="2" borderId="0" xfId="0" applyFont="1" applyFill="1" applyBorder="1" applyAlignment="1" applyProtection="1">
      <alignment horizontal="right"/>
      <protection/>
    </xf>
    <xf numFmtId="0" fontId="28" fillId="2" borderId="0" xfId="0" applyNumberFormat="1" applyFont="1" applyFill="1" applyBorder="1" applyAlignment="1" applyProtection="1">
      <alignment horizontal="right"/>
      <protection/>
    </xf>
    <xf numFmtId="0" fontId="29" fillId="2" borderId="0" xfId="0" applyNumberFormat="1" applyFont="1" applyFill="1" applyBorder="1" applyAlignment="1" applyProtection="1">
      <alignment horizontal="right"/>
      <protection/>
    </xf>
    <xf numFmtId="0" fontId="28" fillId="0" borderId="8" xfId="28" applyFont="1" applyFill="1" applyBorder="1" applyAlignment="1">
      <alignment vertical="center"/>
      <protection/>
    </xf>
    <xf numFmtId="0" fontId="29" fillId="0" borderId="8" xfId="28" applyFont="1" applyFill="1" applyBorder="1" applyAlignment="1">
      <alignment horizontal="right" vertical="center" wrapText="1"/>
      <protection/>
    </xf>
    <xf numFmtId="0" fontId="29" fillId="0" borderId="0" xfId="28" applyFont="1" applyFill="1" applyBorder="1" applyAlignment="1">
      <alignment horizontal="right" vertical="center"/>
      <protection/>
    </xf>
    <xf numFmtId="0" fontId="29" fillId="5" borderId="58" xfId="0" applyNumberFormat="1" applyFont="1" applyFill="1" applyBorder="1" applyAlignment="1" applyProtection="1">
      <alignment horizontal="right"/>
      <protection/>
    </xf>
    <xf numFmtId="0" fontId="29" fillId="2" borderId="58" xfId="0" applyFont="1" applyFill="1" applyBorder="1" applyAlignment="1" applyProtection="1">
      <alignment/>
      <protection/>
    </xf>
    <xf numFmtId="0" fontId="29" fillId="5" borderId="58" xfId="0" applyNumberFormat="1" applyFont="1" applyFill="1" applyBorder="1" applyAlignment="1" applyProtection="1">
      <alignment horizontal="right" vertical="top"/>
      <protection/>
    </xf>
    <xf numFmtId="49" fontId="29" fillId="5" borderId="58" xfId="0" applyNumberFormat="1" applyFont="1" applyFill="1" applyBorder="1" applyAlignment="1" applyProtection="1">
      <alignment horizontal="right" vertical="top"/>
      <protection/>
    </xf>
    <xf numFmtId="2" fontId="29" fillId="2" borderId="58" xfId="0" applyNumberFormat="1" applyFont="1" applyFill="1" applyBorder="1" applyAlignment="1" applyProtection="1">
      <alignment/>
      <protection/>
    </xf>
    <xf numFmtId="0" fontId="29" fillId="2" borderId="58" xfId="0" applyFont="1" applyFill="1" applyBorder="1" applyAlignment="1" applyProtection="1">
      <alignment wrapText="1"/>
      <protection/>
    </xf>
    <xf numFmtId="0" fontId="29" fillId="2" borderId="0" xfId="0" applyFont="1" applyFill="1" applyBorder="1" applyAlignment="1" applyProtection="1">
      <alignment horizontal="center"/>
      <protection/>
    </xf>
    <xf numFmtId="0" fontId="29" fillId="2" borderId="58" xfId="0" applyFont="1" applyFill="1" applyBorder="1" applyAlignment="1" applyProtection="1">
      <alignment horizontal="center"/>
      <protection/>
    </xf>
    <xf numFmtId="0" fontId="29" fillId="2" borderId="0" xfId="0" applyFont="1" applyFill="1" applyBorder="1" applyAlignment="1" applyProtection="1">
      <alignment horizontal="left"/>
      <protection/>
    </xf>
    <xf numFmtId="0" fontId="48" fillId="2" borderId="125" xfId="28" applyFont="1" applyFill="1" applyBorder="1" applyAlignment="1">
      <alignment horizontal="left" vertical="center" wrapText="1"/>
      <protection/>
    </xf>
    <xf numFmtId="0" fontId="48" fillId="2" borderId="165" xfId="28" applyFont="1" applyFill="1" applyBorder="1" applyAlignment="1">
      <alignment horizontal="left" vertical="center" wrapText="1"/>
      <protection/>
    </xf>
    <xf numFmtId="3" fontId="48" fillId="0" borderId="126" xfId="28" applyNumberFormat="1" applyFont="1" applyFill="1" applyBorder="1" applyAlignment="1">
      <alignment vertical="center" wrapText="1"/>
      <protection/>
    </xf>
    <xf numFmtId="3" fontId="48" fillId="0" borderId="127" xfId="28" applyNumberFormat="1" applyFont="1" applyFill="1" applyBorder="1" applyAlignment="1">
      <alignment vertical="center" wrapText="1"/>
      <protection/>
    </xf>
    <xf numFmtId="0" fontId="1" fillId="0" borderId="0" xfId="0" applyFont="1" applyAlignment="1">
      <alignment/>
    </xf>
    <xf numFmtId="3" fontId="83" fillId="8" borderId="164" xfId="28" applyNumberFormat="1" applyFont="1" applyFill="1" applyBorder="1" applyAlignment="1" applyProtection="1">
      <alignment horizontal="right" vertical="center" wrapText="1"/>
      <protection/>
    </xf>
    <xf numFmtId="0" fontId="1" fillId="0" borderId="0" xfId="0" applyFont="1" applyAlignment="1">
      <alignment horizontal="right"/>
    </xf>
    <xf numFmtId="0" fontId="2" fillId="0" borderId="0" xfId="0" applyFont="1" applyAlignment="1">
      <alignment/>
    </xf>
    <xf numFmtId="0" fontId="1" fillId="0" borderId="0" xfId="0" applyFont="1" applyAlignment="1">
      <alignment/>
    </xf>
    <xf numFmtId="0" fontId="0" fillId="0" borderId="0" xfId="0" applyFont="1" applyAlignment="1">
      <alignment/>
    </xf>
    <xf numFmtId="0" fontId="28" fillId="0" borderId="0" xfId="20" applyFont="1">
      <alignment/>
      <protection/>
    </xf>
    <xf numFmtId="0" fontId="29" fillId="0" borderId="0" xfId="20">
      <alignment/>
      <protection/>
    </xf>
    <xf numFmtId="0" fontId="29" fillId="0" borderId="34" xfId="20" applyBorder="1">
      <alignment/>
      <protection/>
    </xf>
    <xf numFmtId="0" fontId="29" fillId="0" borderId="85" xfId="20" applyBorder="1">
      <alignment/>
      <protection/>
    </xf>
    <xf numFmtId="0" fontId="29" fillId="0" borderId="0" xfId="20" applyBorder="1">
      <alignment/>
      <protection/>
    </xf>
    <xf numFmtId="0" fontId="29" fillId="0" borderId="12" xfId="20" applyBorder="1">
      <alignment/>
      <protection/>
    </xf>
    <xf numFmtId="0" fontId="29" fillId="0" borderId="154" xfId="20" applyBorder="1">
      <alignment/>
      <protection/>
    </xf>
    <xf numFmtId="0" fontId="29" fillId="0" borderId="39" xfId="20" applyBorder="1">
      <alignment/>
      <protection/>
    </xf>
    <xf numFmtId="0" fontId="29" fillId="0" borderId="40" xfId="20" applyBorder="1">
      <alignment/>
      <protection/>
    </xf>
    <xf numFmtId="0" fontId="29" fillId="0" borderId="217" xfId="20" applyBorder="1">
      <alignment/>
      <protection/>
    </xf>
    <xf numFmtId="0" fontId="29" fillId="0" borderId="108" xfId="20" applyBorder="1">
      <alignment/>
      <protection/>
    </xf>
    <xf numFmtId="0" fontId="29" fillId="0" borderId="114" xfId="20" applyBorder="1">
      <alignment/>
      <protection/>
    </xf>
    <xf numFmtId="0" fontId="29" fillId="0" borderId="58" xfId="20" applyBorder="1">
      <alignment/>
      <protection/>
    </xf>
    <xf numFmtId="0" fontId="29" fillId="0" borderId="23" xfId="20" applyBorder="1">
      <alignment/>
      <protection/>
    </xf>
    <xf numFmtId="0" fontId="30" fillId="0" borderId="0" xfId="20" applyFont="1">
      <alignment/>
      <protection/>
    </xf>
    <xf numFmtId="0" fontId="68" fillId="6" borderId="82" xfId="0" applyFont="1" applyFill="1" applyBorder="1" applyAlignment="1">
      <alignment vertical="center"/>
    </xf>
    <xf numFmtId="0" fontId="68" fillId="6" borderId="93" xfId="0" applyFont="1" applyFill="1" applyBorder="1" applyAlignment="1">
      <alignment vertical="center"/>
    </xf>
    <xf numFmtId="0" fontId="29" fillId="8" borderId="58" xfId="0" applyFont="1" applyFill="1" applyBorder="1" applyAlignment="1" applyProtection="1">
      <alignment horizontal="center"/>
      <protection/>
    </xf>
    <xf numFmtId="0" fontId="29" fillId="5" borderId="58" xfId="0" applyNumberFormat="1" applyFont="1" applyFill="1" applyBorder="1" applyAlignment="1" applyProtection="1">
      <alignment horizontal="right" vertical="center"/>
      <protection/>
    </xf>
    <xf numFmtId="0" fontId="29" fillId="2" borderId="58" xfId="0" applyFont="1" applyFill="1" applyBorder="1" applyAlignment="1" applyProtection="1">
      <alignment vertical="center"/>
      <protection/>
    </xf>
    <xf numFmtId="0" fontId="29" fillId="8" borderId="58" xfId="0" applyFont="1" applyFill="1" applyBorder="1" applyAlignment="1" applyProtection="1">
      <alignment horizontal="center" vertical="center"/>
      <protection/>
    </xf>
    <xf numFmtId="0" fontId="29" fillId="2" borderId="0" xfId="0" applyFont="1" applyFill="1" applyBorder="1" applyAlignment="1" applyProtection="1">
      <alignment vertical="center"/>
      <protection/>
    </xf>
    <xf numFmtId="49" fontId="29" fillId="5" borderId="58" xfId="0" applyNumberFormat="1" applyFont="1" applyFill="1" applyBorder="1" applyAlignment="1" applyProtection="1">
      <alignment horizontal="right" vertical="center"/>
      <protection/>
    </xf>
    <xf numFmtId="1" fontId="29" fillId="2" borderId="58" xfId="0" applyNumberFormat="1" applyFont="1" applyFill="1" applyBorder="1" applyAlignment="1" applyProtection="1">
      <alignment vertical="center"/>
      <protection/>
    </xf>
    <xf numFmtId="0" fontId="46" fillId="8" borderId="66" xfId="26" applyFont="1" applyFill="1" applyBorder="1" applyAlignment="1">
      <alignment/>
      <protection/>
    </xf>
    <xf numFmtId="0" fontId="46" fillId="8" borderId="67" xfId="26" applyFont="1" applyFill="1" applyBorder="1" applyAlignment="1">
      <alignment horizontal="center"/>
      <protection/>
    </xf>
    <xf numFmtId="0" fontId="46" fillId="8" borderId="68" xfId="26" applyFont="1" applyFill="1" applyBorder="1" applyAlignment="1">
      <alignment horizontal="center"/>
      <protection/>
    </xf>
    <xf numFmtId="0" fontId="57" fillId="0" borderId="71" xfId="26" applyFont="1" applyBorder="1" applyAlignment="1">
      <alignment/>
      <protection/>
    </xf>
    <xf numFmtId="3" fontId="57" fillId="0" borderId="58" xfId="26" applyNumberFormat="1" applyFont="1" applyBorder="1" applyAlignment="1">
      <alignment/>
      <protection/>
    </xf>
    <xf numFmtId="0" fontId="57" fillId="0" borderId="59" xfId="26" applyFont="1" applyBorder="1" applyAlignment="1">
      <alignment/>
      <protection/>
    </xf>
    <xf numFmtId="0" fontId="57" fillId="0" borderId="71" xfId="26" applyFont="1" applyBorder="1" applyAlignment="1">
      <alignment horizontal="right"/>
      <protection/>
    </xf>
    <xf numFmtId="3" fontId="57" fillId="0" borderId="23" xfId="26" applyNumberFormat="1" applyFont="1" applyBorder="1" applyAlignment="1">
      <alignment/>
      <protection/>
    </xf>
    <xf numFmtId="0" fontId="57" fillId="8" borderId="71" xfId="26" applyFont="1" applyFill="1" applyBorder="1" applyAlignment="1">
      <alignment horizontal="left" vertical="center"/>
      <protection/>
    </xf>
    <xf numFmtId="3" fontId="57" fillId="8" borderId="58" xfId="26" applyNumberFormat="1" applyFont="1" applyFill="1" applyBorder="1">
      <alignment/>
      <protection/>
    </xf>
    <xf numFmtId="0" fontId="57" fillId="8" borderId="59" xfId="26" applyFont="1" applyFill="1" applyBorder="1">
      <alignment/>
      <protection/>
    </xf>
    <xf numFmtId="0" fontId="57" fillId="0" borderId="71" xfId="26" applyFont="1" applyBorder="1">
      <alignment/>
      <protection/>
    </xf>
    <xf numFmtId="3" fontId="57" fillId="0" borderId="58" xfId="26" applyNumberFormat="1" applyFont="1" applyBorder="1">
      <alignment/>
      <protection/>
    </xf>
    <xf numFmtId="0" fontId="57" fillId="0" borderId="59" xfId="26" applyFont="1" applyBorder="1">
      <alignment/>
      <protection/>
    </xf>
    <xf numFmtId="0" fontId="46" fillId="8" borderId="71" xfId="26" applyFont="1" applyFill="1" applyBorder="1">
      <alignment/>
      <protection/>
    </xf>
    <xf numFmtId="0" fontId="57" fillId="8" borderId="71" xfId="26" applyFont="1" applyFill="1" applyBorder="1" applyAlignment="1">
      <alignment vertical="center" wrapText="1"/>
      <protection/>
    </xf>
    <xf numFmtId="0" fontId="46" fillId="0" borderId="71" xfId="26" applyFont="1" applyBorder="1">
      <alignment/>
      <protection/>
    </xf>
    <xf numFmtId="0" fontId="57" fillId="0" borderId="76" xfId="26" applyFont="1" applyBorder="1" applyAlignment="1">
      <alignment/>
      <protection/>
    </xf>
    <xf numFmtId="3" fontId="57" fillId="0" borderId="77" xfId="26" applyNumberFormat="1" applyFont="1" applyBorder="1" applyAlignment="1">
      <alignment/>
      <protection/>
    </xf>
    <xf numFmtId="0" fontId="57" fillId="0" borderId="78" xfId="26" applyFont="1" applyBorder="1" applyAlignment="1">
      <alignment/>
      <protection/>
    </xf>
    <xf numFmtId="3" fontId="84" fillId="0" borderId="0" xfId="26" applyNumberFormat="1" applyFont="1" applyAlignment="1">
      <alignment horizontal="center"/>
      <protection/>
    </xf>
    <xf numFmtId="10" fontId="33" fillId="0" borderId="58" xfId="0" applyNumberFormat="1" applyFont="1" applyBorder="1" applyAlignment="1">
      <alignment horizontal="right" vertical="center" wrapText="1"/>
    </xf>
    <xf numFmtId="10" fontId="33" fillId="5" borderId="58" xfId="0" applyNumberFormat="1" applyFont="1" applyFill="1" applyBorder="1" applyAlignment="1">
      <alignment horizontal="right" vertical="center" wrapText="1"/>
    </xf>
    <xf numFmtId="10" fontId="33" fillId="0" borderId="77" xfId="0" applyNumberFormat="1" applyFont="1" applyBorder="1" applyAlignment="1">
      <alignment horizontal="right" vertical="center" wrapText="1"/>
    </xf>
    <xf numFmtId="0" fontId="48" fillId="2" borderId="38" xfId="0" applyFont="1" applyFill="1" applyBorder="1" applyAlignment="1">
      <alignment horizontal="center" vertical="center" wrapText="1"/>
    </xf>
    <xf numFmtId="0" fontId="48" fillId="2" borderId="86" xfId="0" applyFont="1" applyFill="1" applyBorder="1" applyAlignment="1">
      <alignment horizontal="center" vertical="center" wrapText="1"/>
    </xf>
    <xf numFmtId="0" fontId="48" fillId="2" borderId="217" xfId="0" applyFont="1" applyFill="1" applyBorder="1" applyAlignment="1">
      <alignment horizontal="center" vertical="center" wrapText="1"/>
    </xf>
    <xf numFmtId="0" fontId="46" fillId="8" borderId="30" xfId="26" applyFont="1" applyFill="1" applyBorder="1" applyAlignment="1">
      <alignment/>
      <protection/>
    </xf>
    <xf numFmtId="0" fontId="57" fillId="0" borderId="28" xfId="26" applyFont="1" applyBorder="1" applyAlignment="1">
      <alignment/>
      <protection/>
    </xf>
    <xf numFmtId="0" fontId="57" fillId="0" borderId="29" xfId="26" applyFont="1" applyBorder="1" applyAlignment="1">
      <alignment/>
      <protection/>
    </xf>
    <xf numFmtId="3" fontId="57" fillId="0" borderId="85" xfId="26" applyNumberFormat="1" applyFont="1" applyBorder="1" applyAlignment="1">
      <alignment/>
      <protection/>
    </xf>
    <xf numFmtId="3" fontId="57" fillId="0" borderId="71" xfId="26" applyNumberFormat="1" applyFont="1" applyBorder="1" applyAlignment="1">
      <alignment/>
      <protection/>
    </xf>
    <xf numFmtId="3" fontId="57" fillId="0" borderId="59" xfId="26" applyNumberFormat="1" applyFont="1" applyBorder="1" applyAlignment="1">
      <alignment/>
      <protection/>
    </xf>
    <xf numFmtId="3" fontId="57" fillId="0" borderId="28" xfId="26" applyNumberFormat="1" applyFont="1" applyBorder="1" applyAlignment="1">
      <alignment/>
      <protection/>
    </xf>
    <xf numFmtId="3" fontId="57" fillId="0" borderId="76" xfId="26" applyNumberFormat="1" applyFont="1" applyBorder="1" applyAlignment="1">
      <alignment/>
      <protection/>
    </xf>
    <xf numFmtId="3" fontId="57" fillId="0" borderId="78" xfId="26" applyNumberFormat="1" applyFont="1" applyBorder="1" applyAlignment="1">
      <alignment/>
      <protection/>
    </xf>
    <xf numFmtId="0" fontId="57" fillId="0" borderId="14" xfId="26" applyFont="1" applyBorder="1" applyAlignment="1">
      <alignment/>
      <protection/>
    </xf>
    <xf numFmtId="3" fontId="57" fillId="0" borderId="114" xfId="26" applyNumberFormat="1" applyFont="1" applyBorder="1" applyAlignment="1">
      <alignment/>
      <protection/>
    </xf>
    <xf numFmtId="3" fontId="57" fillId="0" borderId="66" xfId="26" applyNumberFormat="1" applyFont="1" applyBorder="1" applyAlignment="1">
      <alignment/>
      <protection/>
    </xf>
    <xf numFmtId="3" fontId="57" fillId="0" borderId="68" xfId="26" applyNumberFormat="1" applyFont="1" applyBorder="1" applyAlignment="1">
      <alignment/>
      <protection/>
    </xf>
    <xf numFmtId="3" fontId="29" fillId="0" borderId="9" xfId="26" applyNumberFormat="1" applyFont="1" applyBorder="1">
      <alignment/>
      <protection/>
    </xf>
    <xf numFmtId="3" fontId="29" fillId="0" borderId="11" xfId="26" applyNumberFormat="1" applyFont="1" applyBorder="1">
      <alignment/>
      <protection/>
    </xf>
    <xf numFmtId="3" fontId="29" fillId="0" borderId="132" xfId="26" applyNumberFormat="1" applyFont="1" applyBorder="1">
      <alignment/>
      <protection/>
    </xf>
    <xf numFmtId="3" fontId="57" fillId="0" borderId="34" xfId="26" applyNumberFormat="1" applyFont="1" applyBorder="1" applyAlignment="1">
      <alignment/>
      <protection/>
    </xf>
    <xf numFmtId="3" fontId="29" fillId="0" borderId="66" xfId="26" applyNumberFormat="1" applyFont="1" applyBorder="1">
      <alignment/>
      <protection/>
    </xf>
    <xf numFmtId="3" fontId="29" fillId="0" borderId="68" xfId="26" applyNumberFormat="1" applyFont="1" applyBorder="1">
      <alignment/>
      <protection/>
    </xf>
    <xf numFmtId="3" fontId="29" fillId="0" borderId="88" xfId="26" applyNumberFormat="1" applyFont="1" applyBorder="1">
      <alignment/>
      <protection/>
    </xf>
    <xf numFmtId="3" fontId="29" fillId="0" borderId="71" xfId="26" applyNumberFormat="1" applyFont="1" applyBorder="1">
      <alignment/>
      <protection/>
    </xf>
    <xf numFmtId="3" fontId="29" fillId="0" borderId="85" xfId="26" applyNumberFormat="1" applyFont="1" applyBorder="1">
      <alignment/>
      <protection/>
    </xf>
    <xf numFmtId="3" fontId="57" fillId="0" borderId="113" xfId="26" applyNumberFormat="1" applyFont="1" applyBorder="1" applyAlignment="1">
      <alignment/>
      <protection/>
    </xf>
    <xf numFmtId="3" fontId="29" fillId="0" borderId="20" xfId="26" applyNumberFormat="1" applyFont="1" applyBorder="1">
      <alignment/>
      <protection/>
    </xf>
    <xf numFmtId="3" fontId="29" fillId="0" borderId="115" xfId="26" applyNumberFormat="1" applyFont="1" applyBorder="1">
      <alignment/>
      <protection/>
    </xf>
    <xf numFmtId="3" fontId="29" fillId="0" borderId="114" xfId="26" applyNumberFormat="1" applyFont="1" applyBorder="1">
      <alignment/>
      <protection/>
    </xf>
    <xf numFmtId="3" fontId="29" fillId="8" borderId="9" xfId="26" applyNumberFormat="1" applyFont="1" applyFill="1" applyBorder="1">
      <alignment/>
      <protection/>
    </xf>
    <xf numFmtId="3" fontId="29" fillId="8" borderId="33" xfId="26" applyNumberFormat="1" applyFont="1" applyFill="1" applyBorder="1">
      <alignment/>
      <protection/>
    </xf>
    <xf numFmtId="0" fontId="79" fillId="0" borderId="0" xfId="26" applyFont="1" applyAlignment="1">
      <alignment horizontal="center"/>
      <protection/>
    </xf>
    <xf numFmtId="0" fontId="29" fillId="0" borderId="0" xfId="26" applyFont="1" applyAlignment="1">
      <alignment horizontal="left" wrapText="1"/>
      <protection/>
    </xf>
    <xf numFmtId="14" fontId="0" fillId="2" borderId="77" xfId="0" applyNumberFormat="1" applyFont="1" applyFill="1" applyBorder="1" applyAlignment="1" applyProtection="1">
      <alignment/>
      <protection locked="0"/>
    </xf>
    <xf numFmtId="14" fontId="29" fillId="0" borderId="0" xfId="26" applyNumberFormat="1" applyFont="1" applyAlignment="1">
      <alignment horizontal="left"/>
      <protection/>
    </xf>
    <xf numFmtId="14" fontId="0" fillId="5" borderId="58" xfId="0" applyNumberFormat="1" applyFont="1" applyFill="1" applyBorder="1" applyAlignment="1" applyProtection="1">
      <alignment horizontal="left"/>
      <protection/>
    </xf>
    <xf numFmtId="4" fontId="29" fillId="0" borderId="77" xfId="26" applyNumberFormat="1" applyFont="1" applyBorder="1" applyAlignment="1">
      <alignment horizontal="center" wrapText="1"/>
      <protection/>
    </xf>
    <xf numFmtId="4" fontId="29" fillId="0" borderId="78" xfId="26" applyNumberFormat="1" applyFont="1" applyBorder="1" applyAlignment="1">
      <alignment horizontal="center" wrapText="1"/>
      <protection/>
    </xf>
    <xf numFmtId="0" fontId="28" fillId="8" borderId="67" xfId="26" applyFont="1" applyFill="1" applyBorder="1" applyAlignment="1">
      <alignment horizontal="center" vertical="center"/>
      <protection/>
    </xf>
    <xf numFmtId="0" fontId="29" fillId="0" borderId="71" xfId="0" applyFont="1" applyBorder="1" applyAlignment="1">
      <alignment horizontal="left" vertical="center" wrapText="1"/>
    </xf>
    <xf numFmtId="0" fontId="29" fillId="0" borderId="58" xfId="0" applyFont="1" applyBorder="1" applyAlignment="1">
      <alignment horizontal="left" vertical="center" wrapText="1"/>
    </xf>
    <xf numFmtId="0" fontId="28" fillId="8" borderId="68" xfId="26" applyFont="1" applyFill="1" applyBorder="1" applyAlignment="1">
      <alignment horizontal="center" vertical="center"/>
      <protection/>
    </xf>
    <xf numFmtId="0" fontId="28" fillId="8" borderId="66" xfId="0" applyFont="1" applyFill="1" applyBorder="1" applyAlignment="1">
      <alignment horizontal="center" vertical="center"/>
    </xf>
    <xf numFmtId="0" fontId="28" fillId="8" borderId="67" xfId="0" applyFont="1" applyFill="1" applyBorder="1" applyAlignment="1">
      <alignment horizontal="center" vertical="center"/>
    </xf>
    <xf numFmtId="0" fontId="28" fillId="8" borderId="87" xfId="26" applyFont="1" applyFill="1" applyBorder="1" applyAlignment="1">
      <alignment horizontal="center" vertical="center" wrapText="1"/>
      <protection/>
    </xf>
    <xf numFmtId="0" fontId="28" fillId="8" borderId="84" xfId="26" applyFont="1" applyFill="1" applyBorder="1" applyAlignment="1">
      <alignment horizontal="center" vertical="center" wrapText="1"/>
      <protection/>
    </xf>
    <xf numFmtId="0" fontId="29" fillId="0" borderId="28" xfId="0" applyFont="1" applyBorder="1" applyAlignment="1" applyProtection="1">
      <alignment horizontal="left" vertical="center"/>
      <protection locked="0"/>
    </xf>
    <xf numFmtId="0" fontId="29" fillId="0" borderId="23" xfId="0" applyFont="1" applyBorder="1" applyAlignment="1" applyProtection="1">
      <alignment horizontal="left" vertical="center"/>
      <protection locked="0"/>
    </xf>
    <xf numFmtId="0" fontId="29" fillId="0" borderId="85" xfId="0" applyFont="1" applyBorder="1" applyAlignment="1" applyProtection="1">
      <alignment horizontal="left" vertical="center"/>
      <protection locked="0"/>
    </xf>
    <xf numFmtId="0" fontId="29" fillId="0" borderId="34" xfId="26" applyFont="1" applyBorder="1" applyAlignment="1" applyProtection="1">
      <alignment horizontal="center"/>
      <protection locked="0"/>
    </xf>
    <xf numFmtId="0" fontId="29" fillId="0" borderId="23" xfId="26" applyFont="1" applyBorder="1" applyAlignment="1" applyProtection="1">
      <alignment horizontal="center"/>
      <protection locked="0"/>
    </xf>
    <xf numFmtId="0" fontId="29" fillId="0" borderId="85" xfId="26" applyFont="1" applyBorder="1" applyAlignment="1" applyProtection="1">
      <alignment horizontal="center"/>
      <protection locked="0"/>
    </xf>
    <xf numFmtId="0" fontId="29" fillId="0" borderId="34" xfId="26" applyFont="1" applyBorder="1" applyAlignment="1" applyProtection="1">
      <alignment horizontal="left"/>
      <protection locked="0"/>
    </xf>
    <xf numFmtId="0" fontId="29" fillId="0" borderId="23" xfId="26" applyFont="1" applyBorder="1" applyAlignment="1" applyProtection="1">
      <alignment horizontal="left"/>
      <protection locked="0"/>
    </xf>
    <xf numFmtId="0" fontId="29" fillId="0" borderId="85" xfId="26" applyFont="1" applyBorder="1" applyAlignment="1" applyProtection="1">
      <alignment horizontal="left"/>
      <protection locked="0"/>
    </xf>
    <xf numFmtId="0" fontId="29" fillId="0" borderId="82" xfId="26" applyFont="1" applyBorder="1" applyAlignment="1" applyProtection="1">
      <alignment horizontal="left"/>
      <protection locked="0"/>
    </xf>
    <xf numFmtId="0" fontId="29" fillId="0" borderId="82" xfId="26" applyFont="1" applyBorder="1" applyAlignment="1" applyProtection="1">
      <alignment horizontal="center"/>
      <protection locked="0"/>
    </xf>
    <xf numFmtId="0" fontId="28" fillId="8" borderId="87" xfId="0" applyFont="1" applyFill="1" applyBorder="1" applyAlignment="1">
      <alignment horizontal="center" vertical="center"/>
    </xf>
    <xf numFmtId="0" fontId="28" fillId="8" borderId="88" xfId="0" applyFont="1" applyFill="1" applyBorder="1" applyAlignment="1">
      <alignment horizontal="center" vertical="center"/>
    </xf>
    <xf numFmtId="0" fontId="28" fillId="8" borderId="89" xfId="26" applyFont="1" applyFill="1" applyBorder="1" applyAlignment="1">
      <alignment horizontal="center" vertical="center"/>
      <protection/>
    </xf>
    <xf numFmtId="0" fontId="28" fillId="8" borderId="87" xfId="26" applyFont="1" applyFill="1" applyBorder="1" applyAlignment="1">
      <alignment horizontal="center" vertical="center"/>
      <protection/>
    </xf>
    <xf numFmtId="0" fontId="28" fillId="8" borderId="88" xfId="26" applyFont="1" applyFill="1" applyBorder="1" applyAlignment="1">
      <alignment horizontal="center" vertical="center"/>
      <protection/>
    </xf>
    <xf numFmtId="0" fontId="28" fillId="8" borderId="89" xfId="26" applyFont="1" applyFill="1" applyBorder="1" applyAlignment="1">
      <alignment horizontal="center" vertical="center" wrapText="1"/>
      <protection/>
    </xf>
    <xf numFmtId="0" fontId="29" fillId="6" borderId="68" xfId="26" applyFont="1" applyFill="1" applyBorder="1" applyAlignment="1" applyProtection="1">
      <alignment horizontal="left" vertical="center"/>
      <protection/>
    </xf>
    <xf numFmtId="0" fontId="28" fillId="8" borderId="30" xfId="0" applyFont="1" applyFill="1" applyBorder="1" applyAlignment="1">
      <alignment horizontal="center" vertical="center"/>
    </xf>
    <xf numFmtId="0" fontId="29" fillId="6" borderId="67" xfId="26" applyFont="1" applyFill="1" applyBorder="1" applyAlignment="1" applyProtection="1">
      <alignment horizontal="left" vertical="center"/>
      <protection/>
    </xf>
    <xf numFmtId="49" fontId="29" fillId="6" borderId="67" xfId="26" applyNumberFormat="1" applyFont="1" applyFill="1" applyBorder="1" applyAlignment="1" applyProtection="1">
      <alignment horizontal="left" vertical="center"/>
      <protection/>
    </xf>
    <xf numFmtId="0" fontId="29" fillId="6" borderId="82" xfId="26" applyFont="1" applyFill="1" applyBorder="1" applyAlignment="1" applyProtection="1">
      <alignment horizontal="left" vertical="center" wrapText="1"/>
      <protection locked="0"/>
    </xf>
    <xf numFmtId="0" fontId="28" fillId="8" borderId="66" xfId="26" applyFont="1" applyFill="1" applyBorder="1" applyAlignment="1">
      <alignment horizontal="left" vertical="center"/>
      <protection/>
    </xf>
    <xf numFmtId="0" fontId="28" fillId="8" borderId="67" xfId="26" applyFont="1" applyFill="1" applyBorder="1" applyAlignment="1">
      <alignment horizontal="left" vertical="center"/>
      <protection/>
    </xf>
    <xf numFmtId="0" fontId="29" fillId="6" borderId="23" xfId="26" applyFont="1" applyFill="1" applyBorder="1" applyAlignment="1" applyProtection="1">
      <alignment horizontal="left" vertical="center" wrapText="1"/>
      <protection locked="0"/>
    </xf>
    <xf numFmtId="0" fontId="29" fillId="6" borderId="34" xfId="26" applyFont="1" applyFill="1" applyBorder="1" applyAlignment="1" applyProtection="1">
      <alignment horizontal="left" vertical="center" wrapText="1"/>
      <protection locked="0"/>
    </xf>
    <xf numFmtId="0" fontId="29" fillId="6" borderId="58" xfId="26" applyFont="1" applyFill="1" applyBorder="1" applyAlignment="1" applyProtection="1">
      <alignment horizontal="left" vertical="center"/>
      <protection locked="0"/>
    </xf>
    <xf numFmtId="0" fontId="29" fillId="6" borderId="59" xfId="26" applyFont="1" applyFill="1" applyBorder="1" applyAlignment="1" applyProtection="1">
      <alignment horizontal="left" vertical="center"/>
      <protection locked="0"/>
    </xf>
    <xf numFmtId="0" fontId="28" fillId="8" borderId="71" xfId="26" applyFont="1" applyFill="1" applyBorder="1" applyAlignment="1">
      <alignment horizontal="left" vertical="center"/>
      <protection/>
    </xf>
    <xf numFmtId="0" fontId="28" fillId="8" borderId="58" xfId="26" applyFont="1" applyFill="1" applyBorder="1" applyAlignment="1">
      <alignment horizontal="left" vertical="center"/>
      <protection/>
    </xf>
    <xf numFmtId="0" fontId="29" fillId="6" borderId="92" xfId="26" applyFont="1" applyFill="1" applyBorder="1" applyAlignment="1" applyProtection="1">
      <alignment horizontal="left" vertical="center"/>
      <protection/>
    </xf>
    <xf numFmtId="0" fontId="29" fillId="6" borderId="90" xfId="26" applyFont="1" applyFill="1" applyBorder="1" applyAlignment="1" applyProtection="1">
      <alignment horizontal="left" vertical="center"/>
      <protection/>
    </xf>
    <xf numFmtId="0" fontId="29" fillId="6" borderId="93" xfId="26" applyFont="1" applyFill="1" applyBorder="1" applyAlignment="1" applyProtection="1">
      <alignment horizontal="left" vertical="center"/>
      <protection/>
    </xf>
    <xf numFmtId="49" fontId="29" fillId="6" borderId="92" xfId="26" applyNumberFormat="1" applyFont="1" applyFill="1" applyBorder="1" applyAlignment="1" applyProtection="1">
      <alignment horizontal="left" vertical="center" wrapText="1"/>
      <protection/>
    </xf>
    <xf numFmtId="0" fontId="29" fillId="6" borderId="90" xfId="26" applyFont="1" applyFill="1" applyBorder="1" applyAlignment="1" applyProtection="1">
      <alignment horizontal="left" vertical="center" wrapText="1"/>
      <protection/>
    </xf>
    <xf numFmtId="0" fontId="29" fillId="6" borderId="93" xfId="26" applyFont="1" applyFill="1" applyBorder="1" applyAlignment="1" applyProtection="1">
      <alignment horizontal="left" vertical="center" wrapText="1"/>
      <protection/>
    </xf>
    <xf numFmtId="0" fontId="29" fillId="6" borderId="58" xfId="26" applyFont="1" applyFill="1" applyBorder="1" applyAlignment="1" applyProtection="1">
      <alignment horizontal="left" vertical="center"/>
      <protection/>
    </xf>
    <xf numFmtId="0" fontId="29" fillId="6" borderId="59" xfId="26" applyFont="1" applyFill="1" applyBorder="1" applyAlignment="1" applyProtection="1">
      <alignment horizontal="left" vertical="center"/>
      <protection/>
    </xf>
    <xf numFmtId="0" fontId="28" fillId="8" borderId="30" xfId="26" applyFont="1" applyFill="1" applyBorder="1" applyAlignment="1">
      <alignment vertical="center"/>
      <protection/>
    </xf>
    <xf numFmtId="0" fontId="28" fillId="8" borderId="87" xfId="26" applyFont="1" applyFill="1" applyBorder="1" applyAlignment="1">
      <alignment vertical="center"/>
      <protection/>
    </xf>
    <xf numFmtId="0" fontId="28" fillId="8" borderId="88" xfId="26" applyFont="1" applyFill="1" applyBorder="1" applyAlignment="1">
      <alignment vertical="center"/>
      <protection/>
    </xf>
    <xf numFmtId="0" fontId="28" fillId="8" borderId="28" xfId="26" applyFont="1" applyFill="1" applyBorder="1" applyAlignment="1">
      <alignment vertical="center"/>
      <protection/>
    </xf>
    <xf numFmtId="0" fontId="28" fillId="8" borderId="23" xfId="26" applyFont="1" applyFill="1" applyBorder="1" applyAlignment="1">
      <alignment vertical="center"/>
      <protection/>
    </xf>
    <xf numFmtId="0" fontId="28" fillId="8" borderId="85" xfId="26" applyFont="1" applyFill="1" applyBorder="1" applyAlignment="1">
      <alignment vertical="center"/>
      <protection/>
    </xf>
    <xf numFmtId="0" fontId="28" fillId="8" borderId="29" xfId="26" applyFont="1" applyFill="1" applyBorder="1" applyAlignment="1">
      <alignment vertical="center"/>
      <protection/>
    </xf>
    <xf numFmtId="0" fontId="28" fillId="8" borderId="90" xfId="26" applyFont="1" applyFill="1" applyBorder="1" applyAlignment="1">
      <alignment vertical="center"/>
      <protection/>
    </xf>
    <xf numFmtId="0" fontId="28" fillId="8" borderId="91" xfId="26" applyFont="1" applyFill="1" applyBorder="1" applyAlignment="1">
      <alignment vertical="center"/>
      <protection/>
    </xf>
    <xf numFmtId="0" fontId="29" fillId="6" borderId="89" xfId="26" applyFont="1" applyFill="1" applyBorder="1" applyAlignment="1" applyProtection="1">
      <alignment horizontal="left" vertical="center" wrapText="1"/>
      <protection/>
    </xf>
    <xf numFmtId="0" fontId="29" fillId="6" borderId="87" xfId="26" applyFont="1" applyFill="1" applyBorder="1" applyAlignment="1" applyProtection="1">
      <alignment horizontal="left" vertical="center" wrapText="1"/>
      <protection/>
    </xf>
    <xf numFmtId="0" fontId="29" fillId="6" borderId="84" xfId="26" applyFont="1" applyFill="1" applyBorder="1" applyAlignment="1" applyProtection="1">
      <alignment horizontal="left" vertical="center" wrapText="1"/>
      <protection/>
    </xf>
    <xf numFmtId="4" fontId="29" fillId="0" borderId="58" xfId="26" applyNumberFormat="1" applyFont="1" applyBorder="1" applyAlignment="1">
      <alignment horizontal="center" wrapText="1"/>
      <protection/>
    </xf>
    <xf numFmtId="4" fontId="29" fillId="0" borderId="59" xfId="26" applyNumberFormat="1" applyFont="1" applyBorder="1" applyAlignment="1">
      <alignment horizontal="center" wrapText="1"/>
      <protection/>
    </xf>
    <xf numFmtId="0" fontId="29" fillId="0" borderId="58" xfId="26" applyFont="1" applyBorder="1" applyAlignment="1">
      <alignment horizontal="center"/>
      <protection/>
    </xf>
    <xf numFmtId="0" fontId="29" fillId="0" borderId="76" xfId="0" applyFont="1" applyBorder="1" applyAlignment="1">
      <alignment horizontal="left" vertical="center" wrapText="1"/>
    </xf>
    <xf numFmtId="0" fontId="29" fillId="0" borderId="77" xfId="0" applyFont="1" applyBorder="1" applyAlignment="1">
      <alignment horizontal="left" vertical="center" wrapText="1"/>
    </xf>
    <xf numFmtId="0" fontId="29" fillId="0" borderId="77" xfId="26" applyFont="1" applyBorder="1" applyAlignment="1">
      <alignment horizontal="center"/>
      <protection/>
    </xf>
    <xf numFmtId="0" fontId="28" fillId="0" borderId="8" xfId="0" applyFont="1" applyBorder="1" applyAlignment="1">
      <alignment horizontal="left"/>
    </xf>
    <xf numFmtId="0" fontId="28" fillId="0" borderId="0" xfId="26" applyFont="1" applyAlignment="1">
      <alignment horizontal="left" vertical="center" wrapText="1"/>
      <protection/>
    </xf>
    <xf numFmtId="0" fontId="29" fillId="0" borderId="0" xfId="26" applyFont="1" applyAlignment="1">
      <alignment horizontal="left" vertical="center" wrapText="1"/>
      <protection/>
    </xf>
    <xf numFmtId="0" fontId="29" fillId="0" borderId="0" xfId="26" applyFont="1" applyAlignment="1">
      <alignment horizontal="left" vertical="top" wrapText="1"/>
      <protection/>
    </xf>
    <xf numFmtId="0" fontId="29" fillId="0" borderId="0" xfId="26" applyFont="1" applyAlignment="1">
      <alignment vertical="center"/>
      <protection/>
    </xf>
    <xf numFmtId="0" fontId="43" fillId="0" borderId="0" xfId="26" applyFont="1" applyAlignment="1">
      <alignment vertical="center"/>
      <protection/>
    </xf>
    <xf numFmtId="0" fontId="45" fillId="0" borderId="0" xfId="26" applyFont="1" applyAlignment="1">
      <alignment vertical="center"/>
      <protection/>
    </xf>
    <xf numFmtId="0" fontId="28" fillId="0" borderId="0" xfId="26" applyFont="1" applyAlignment="1">
      <alignment vertical="center"/>
      <protection/>
    </xf>
    <xf numFmtId="0" fontId="29" fillId="0" borderId="0" xfId="26" applyFont="1" applyAlignment="1">
      <alignment horizontal="left" wrapText="1"/>
      <protection/>
    </xf>
    <xf numFmtId="0" fontId="46" fillId="0" borderId="0" xfId="26" applyFont="1" applyAlignment="1">
      <alignment horizontal="left" wrapText="1"/>
      <protection/>
    </xf>
    <xf numFmtId="0" fontId="29" fillId="0" borderId="0" xfId="26" applyFont="1" applyAlignment="1">
      <alignment/>
      <protection/>
    </xf>
    <xf numFmtId="0" fontId="45" fillId="0" borderId="0" xfId="26" applyFont="1" applyAlignment="1">
      <alignment horizontal="left" vertical="center" wrapText="1"/>
      <protection/>
    </xf>
    <xf numFmtId="0" fontId="29" fillId="0" borderId="29" xfId="26" applyFont="1" applyBorder="1" applyAlignment="1">
      <alignment horizontal="left"/>
      <protection/>
    </xf>
    <xf numFmtId="0" fontId="29" fillId="0" borderId="90" xfId="26" applyFont="1" applyBorder="1" applyAlignment="1">
      <alignment horizontal="left"/>
      <protection/>
    </xf>
    <xf numFmtId="0" fontId="29" fillId="0" borderId="91" xfId="26" applyFont="1" applyBorder="1" applyAlignment="1">
      <alignment horizontal="left"/>
      <protection/>
    </xf>
    <xf numFmtId="0" fontId="28" fillId="5" borderId="89" xfId="26" applyFont="1" applyFill="1" applyBorder="1" applyAlignment="1">
      <alignment horizontal="center"/>
      <protection/>
    </xf>
    <xf numFmtId="0" fontId="28" fillId="5" borderId="84" xfId="26" applyFont="1" applyFill="1" applyBorder="1" applyAlignment="1">
      <alignment horizontal="center"/>
      <protection/>
    </xf>
    <xf numFmtId="0" fontId="28" fillId="5" borderId="81" xfId="26" applyFont="1" applyFill="1" applyBorder="1" applyAlignment="1">
      <alignment horizontal="center" vertical="center"/>
      <protection/>
    </xf>
    <xf numFmtId="0" fontId="28" fillId="5" borderId="218" xfId="26" applyFont="1" applyFill="1" applyBorder="1" applyAlignment="1">
      <alignment horizontal="center" vertical="center"/>
      <protection/>
    </xf>
    <xf numFmtId="0" fontId="28" fillId="5" borderId="195" xfId="26" applyFont="1" applyFill="1" applyBorder="1" applyAlignment="1">
      <alignment horizontal="center" vertical="center"/>
      <protection/>
    </xf>
    <xf numFmtId="0" fontId="28" fillId="5" borderId="130" xfId="26" applyFont="1" applyFill="1" applyBorder="1" applyAlignment="1">
      <alignment horizontal="center" vertical="center"/>
      <protection/>
    </xf>
    <xf numFmtId="0" fontId="28" fillId="5" borderId="199" xfId="26" applyFont="1" applyFill="1" applyBorder="1" applyAlignment="1">
      <alignment horizontal="center" vertical="center"/>
      <protection/>
    </xf>
    <xf numFmtId="0" fontId="28" fillId="5" borderId="219" xfId="26" applyFont="1" applyFill="1" applyBorder="1" applyAlignment="1">
      <alignment horizontal="center" vertical="center"/>
      <protection/>
    </xf>
    <xf numFmtId="0" fontId="28" fillId="5" borderId="220" xfId="26" applyFont="1" applyFill="1" applyBorder="1" applyAlignment="1">
      <alignment horizontal="center" vertical="center"/>
      <protection/>
    </xf>
    <xf numFmtId="0" fontId="28" fillId="5" borderId="221" xfId="26" applyFont="1" applyFill="1" applyBorder="1" applyAlignment="1">
      <alignment horizontal="center" vertical="center"/>
      <protection/>
    </xf>
    <xf numFmtId="0" fontId="29" fillId="0" borderId="216" xfId="26" applyFont="1" applyBorder="1" applyAlignment="1">
      <alignment horizontal="left"/>
      <protection/>
    </xf>
    <xf numFmtId="0" fontId="29" fillId="0" borderId="100" xfId="26" applyFont="1" applyBorder="1" applyAlignment="1">
      <alignment horizontal="left"/>
      <protection/>
    </xf>
    <xf numFmtId="0" fontId="29" fillId="0" borderId="101" xfId="26" applyFont="1" applyBorder="1" applyAlignment="1">
      <alignment horizontal="left"/>
      <protection/>
    </xf>
    <xf numFmtId="0" fontId="29" fillId="0" borderId="28" xfId="26" applyFont="1" applyBorder="1" applyAlignment="1">
      <alignment horizontal="left"/>
      <protection/>
    </xf>
    <xf numFmtId="0" fontId="29" fillId="0" borderId="23" xfId="26" applyFont="1" applyBorder="1" applyAlignment="1">
      <alignment horizontal="left"/>
      <protection/>
    </xf>
    <xf numFmtId="0" fontId="29" fillId="0" borderId="85" xfId="26" applyFont="1" applyBorder="1" applyAlignment="1">
      <alignment horizontal="left"/>
      <protection/>
    </xf>
    <xf numFmtId="0" fontId="29" fillId="0" borderId="0" xfId="26" applyFont="1" applyBorder="1" applyAlignment="1">
      <alignment horizontal="left"/>
      <protection/>
    </xf>
    <xf numFmtId="0" fontId="28" fillId="7" borderId="58" xfId="26" applyFont="1" applyFill="1" applyBorder="1" applyAlignment="1">
      <alignment horizontal="center" vertical="center" wrapText="1"/>
      <protection/>
    </xf>
    <xf numFmtId="0" fontId="28" fillId="7" borderId="58" xfId="26" applyFont="1" applyFill="1" applyBorder="1" applyAlignment="1">
      <alignment horizontal="center"/>
      <protection/>
    </xf>
    <xf numFmtId="0" fontId="28" fillId="7" borderId="58" xfId="26" applyFont="1" applyFill="1" applyBorder="1" applyAlignment="1">
      <alignment horizontal="center" vertical="center"/>
      <protection/>
    </xf>
    <xf numFmtId="0" fontId="29" fillId="0" borderId="34" xfId="26" applyBorder="1" applyAlignment="1">
      <alignment/>
      <protection/>
    </xf>
    <xf numFmtId="0" fontId="29" fillId="0" borderId="85" xfId="26" applyBorder="1" applyAlignment="1">
      <alignment/>
      <protection/>
    </xf>
    <xf numFmtId="0" fontId="29" fillId="7" borderId="58" xfId="26" applyFill="1" applyBorder="1" applyAlignment="1">
      <alignment horizontal="center" vertical="center"/>
      <protection/>
    </xf>
    <xf numFmtId="0" fontId="29" fillId="0" borderId="58" xfId="26" applyBorder="1" applyAlignment="1">
      <alignment/>
      <protection/>
    </xf>
    <xf numFmtId="0" fontId="33" fillId="0" borderId="0" xfId="0" applyFont="1" applyAlignment="1">
      <alignment vertical="top" wrapText="1"/>
    </xf>
    <xf numFmtId="0" fontId="33" fillId="0" borderId="0" xfId="0" applyFont="1" applyBorder="1" applyAlignment="1">
      <alignment horizontal="right" vertical="top" wrapText="1"/>
    </xf>
    <xf numFmtId="0" fontId="33" fillId="0" borderId="0" xfId="0" applyFont="1" applyAlignment="1">
      <alignment horizontal="right" vertical="top" wrapText="1"/>
    </xf>
    <xf numFmtId="0" fontId="35" fillId="0" borderId="58" xfId="0" applyFont="1" applyBorder="1" applyAlignment="1">
      <alignment vertical="center" wrapText="1"/>
    </xf>
    <xf numFmtId="0" fontId="35" fillId="0" borderId="58" xfId="0" applyFont="1" applyFill="1" applyBorder="1" applyAlignment="1">
      <alignment vertical="center" wrapText="1"/>
    </xf>
    <xf numFmtId="0" fontId="32" fillId="5" borderId="30" xfId="0" applyFont="1" applyFill="1" applyBorder="1" applyAlignment="1">
      <alignment horizontal="center" vertical="center" wrapText="1"/>
    </xf>
    <xf numFmtId="0" fontId="32" fillId="5" borderId="87" xfId="0" applyFont="1" applyFill="1" applyBorder="1" applyAlignment="1">
      <alignment horizontal="center" vertical="center" wrapText="1"/>
    </xf>
    <xf numFmtId="0" fontId="32" fillId="5" borderId="88" xfId="0" applyFont="1" applyFill="1" applyBorder="1" applyAlignment="1">
      <alignment horizontal="center" vertical="center" wrapText="1"/>
    </xf>
    <xf numFmtId="0" fontId="28" fillId="8" borderId="29" xfId="26" applyFont="1" applyFill="1" applyBorder="1" applyAlignment="1">
      <alignment horizontal="left" vertical="center" wrapText="1"/>
      <protection/>
    </xf>
    <xf numFmtId="0" fontId="28" fillId="8" borderId="90" xfId="26" applyFont="1" applyFill="1" applyBorder="1" applyAlignment="1">
      <alignment horizontal="left" vertical="center" wrapText="1"/>
      <protection/>
    </xf>
    <xf numFmtId="0" fontId="28" fillId="8" borderId="91" xfId="26" applyFont="1" applyFill="1" applyBorder="1" applyAlignment="1">
      <alignment horizontal="left" vertical="center" wrapText="1"/>
      <protection/>
    </xf>
    <xf numFmtId="0" fontId="29" fillId="6" borderId="89" xfId="26" applyFont="1" applyFill="1" applyBorder="1" applyAlignment="1" applyProtection="1">
      <alignment horizontal="left" vertical="center" wrapText="1"/>
      <protection locked="0"/>
    </xf>
    <xf numFmtId="0" fontId="29" fillId="6" borderId="87" xfId="26" applyFont="1" applyFill="1" applyBorder="1" applyAlignment="1" applyProtection="1">
      <alignment horizontal="left" vertical="center" wrapText="1"/>
      <protection locked="0"/>
    </xf>
    <xf numFmtId="0" fontId="29" fillId="6" borderId="84" xfId="26" applyFont="1" applyFill="1" applyBorder="1" applyAlignment="1" applyProtection="1">
      <alignment horizontal="left" vertical="center" wrapText="1"/>
      <protection locked="0"/>
    </xf>
    <xf numFmtId="0" fontId="28" fillId="8" borderId="28" xfId="26" applyFont="1" applyFill="1" applyBorder="1" applyAlignment="1">
      <alignment horizontal="left" vertical="center" wrapText="1"/>
      <protection/>
    </xf>
    <xf numFmtId="0" fontId="28" fillId="8" borderId="23" xfId="26" applyFont="1" applyFill="1" applyBorder="1" applyAlignment="1">
      <alignment horizontal="left" vertical="center" wrapText="1"/>
      <protection/>
    </xf>
    <xf numFmtId="0" fontId="28" fillId="8" borderId="85" xfId="26" applyFont="1" applyFill="1" applyBorder="1" applyAlignment="1">
      <alignment horizontal="left" vertical="center" wrapText="1"/>
      <protection/>
    </xf>
    <xf numFmtId="0" fontId="29" fillId="6" borderId="92" xfId="26" applyFont="1" applyFill="1" applyBorder="1" applyAlignment="1" applyProtection="1">
      <alignment horizontal="left" vertical="center" wrapText="1"/>
      <protection locked="0"/>
    </xf>
    <xf numFmtId="0" fontId="29" fillId="6" borderId="90" xfId="26" applyFont="1" applyFill="1" applyBorder="1" applyAlignment="1" applyProtection="1">
      <alignment horizontal="left" vertical="center" wrapText="1"/>
      <protection locked="0"/>
    </xf>
    <xf numFmtId="0" fontId="29" fillId="6" borderId="93" xfId="26" applyFont="1" applyFill="1" applyBorder="1" applyAlignment="1" applyProtection="1">
      <alignment horizontal="left" vertical="center" wrapText="1"/>
      <protection locked="0"/>
    </xf>
    <xf numFmtId="0" fontId="46" fillId="0" borderId="8" xfId="26" applyFont="1" applyBorder="1" applyAlignment="1">
      <alignment horizontal="left" wrapText="1"/>
      <protection/>
    </xf>
    <xf numFmtId="0" fontId="46" fillId="0" borderId="0" xfId="26" applyFont="1" applyBorder="1" applyAlignment="1">
      <alignment horizontal="left" vertical="center" wrapText="1"/>
      <protection/>
    </xf>
    <xf numFmtId="0" fontId="29" fillId="5" borderId="81" xfId="0" applyFont="1" applyFill="1" applyBorder="1" applyAlignment="1">
      <alignment horizontal="center" vertical="center" wrapText="1"/>
    </xf>
    <xf numFmtId="0" fontId="29" fillId="5" borderId="108" xfId="0" applyFont="1" applyFill="1" applyBorder="1" applyAlignment="1">
      <alignment horizontal="center" vertical="center" wrapText="1"/>
    </xf>
    <xf numFmtId="0" fontId="29" fillId="5" borderId="161" xfId="0" applyFont="1" applyFill="1" applyBorder="1" applyAlignment="1">
      <alignment horizontal="center" vertical="center" wrapText="1"/>
    </xf>
    <xf numFmtId="0" fontId="29" fillId="5" borderId="109" xfId="0" applyFont="1" applyFill="1" applyBorder="1" applyAlignment="1">
      <alignment horizontal="center" vertical="center" wrapText="1"/>
    </xf>
    <xf numFmtId="0" fontId="29" fillId="5" borderId="67" xfId="0" applyFont="1" applyFill="1" applyBorder="1" applyAlignment="1">
      <alignment horizontal="center" vertical="center" wrapText="1"/>
    </xf>
    <xf numFmtId="0" fontId="29" fillId="5" borderId="19" xfId="0" applyFont="1" applyFill="1" applyBorder="1" applyAlignment="1">
      <alignment horizontal="center" vertical="center" wrapText="1"/>
    </xf>
    <xf numFmtId="0" fontId="29" fillId="5" borderId="110" xfId="0" applyFont="1" applyFill="1" applyBorder="1" applyAlignment="1">
      <alignment horizontal="center" vertical="center" wrapText="1"/>
    </xf>
    <xf numFmtId="0" fontId="29" fillId="0" borderId="71" xfId="26" applyFont="1" applyBorder="1" applyAlignment="1">
      <alignment horizontal="left"/>
      <protection/>
    </xf>
    <xf numFmtId="0" fontId="29" fillId="0" borderId="58" xfId="26" applyFont="1" applyBorder="1" applyAlignment="1">
      <alignment horizontal="left"/>
      <protection/>
    </xf>
    <xf numFmtId="0" fontId="29" fillId="8" borderId="71" xfId="26" applyFont="1" applyFill="1" applyBorder="1" applyAlignment="1">
      <alignment horizontal="left"/>
      <protection/>
    </xf>
    <xf numFmtId="0" fontId="29" fillId="8" borderId="58" xfId="26" applyFont="1" applyFill="1" applyBorder="1" applyAlignment="1">
      <alignment horizontal="left"/>
      <protection/>
    </xf>
    <xf numFmtId="0" fontId="29" fillId="0" borderId="28" xfId="26" applyFont="1" applyBorder="1" applyAlignment="1">
      <alignment horizontal="left" wrapText="1"/>
      <protection/>
    </xf>
    <xf numFmtId="0" fontId="29" fillId="0" borderId="23" xfId="26" applyFont="1" applyBorder="1" applyAlignment="1">
      <alignment horizontal="left" wrapText="1"/>
      <protection/>
    </xf>
    <xf numFmtId="0" fontId="29" fillId="0" borderId="85" xfId="26" applyFont="1" applyBorder="1" applyAlignment="1">
      <alignment horizontal="left" wrapText="1"/>
      <protection/>
    </xf>
    <xf numFmtId="0" fontId="29" fillId="0" borderId="71" xfId="26" applyFont="1" applyBorder="1" applyAlignment="1">
      <alignment horizontal="left" wrapText="1"/>
      <protection/>
    </xf>
    <xf numFmtId="0" fontId="29" fillId="0" borderId="58" xfId="26" applyFont="1" applyBorder="1" applyAlignment="1">
      <alignment horizontal="left" wrapText="1"/>
      <protection/>
    </xf>
    <xf numFmtId="0" fontId="29" fillId="8" borderId="76" xfId="26" applyFont="1" applyFill="1" applyBorder="1" applyAlignment="1">
      <alignment horizontal="left"/>
      <protection/>
    </xf>
    <xf numFmtId="0" fontId="29" fillId="8" borderId="77" xfId="26" applyFont="1" applyFill="1" applyBorder="1" applyAlignment="1">
      <alignment horizontal="left"/>
      <protection/>
    </xf>
    <xf numFmtId="0" fontId="46" fillId="8" borderId="30" xfId="26" applyFont="1" applyFill="1" applyBorder="1" applyAlignment="1">
      <alignment horizontal="center"/>
      <protection/>
    </xf>
    <xf numFmtId="0" fontId="46" fillId="8" borderId="87" xfId="26" applyFont="1" applyFill="1" applyBorder="1" applyAlignment="1">
      <alignment horizontal="center"/>
      <protection/>
    </xf>
    <xf numFmtId="0" fontId="28" fillId="5" borderId="66" xfId="26" applyFont="1" applyFill="1" applyBorder="1" applyAlignment="1">
      <alignment horizontal="center" vertical="center" wrapText="1"/>
      <protection/>
    </xf>
    <xf numFmtId="0" fontId="28" fillId="5" borderId="67" xfId="26" applyFont="1" applyFill="1" applyBorder="1" applyAlignment="1">
      <alignment horizontal="center" vertical="center" wrapText="1"/>
      <protection/>
    </xf>
    <xf numFmtId="0" fontId="28" fillId="5" borderId="71" xfId="26" applyFont="1" applyFill="1" applyBorder="1" applyAlignment="1">
      <alignment horizontal="center" vertical="center" wrapText="1"/>
      <protection/>
    </xf>
    <xf numFmtId="0" fontId="28" fillId="5" borderId="58" xfId="26" applyFont="1" applyFill="1" applyBorder="1" applyAlignment="1">
      <alignment horizontal="center" vertical="center" wrapText="1"/>
      <protection/>
    </xf>
    <xf numFmtId="0" fontId="28" fillId="5" borderId="76" xfId="26" applyFont="1" applyFill="1" applyBorder="1" applyAlignment="1">
      <alignment horizontal="center" vertical="center" wrapText="1"/>
      <protection/>
    </xf>
    <xf numFmtId="0" fontId="28" fillId="5" borderId="77" xfId="26" applyFont="1" applyFill="1" applyBorder="1" applyAlignment="1">
      <alignment horizontal="center" vertical="center" wrapText="1"/>
      <protection/>
    </xf>
    <xf numFmtId="0" fontId="28" fillId="5" borderId="67" xfId="26" applyFont="1" applyFill="1" applyBorder="1" applyAlignment="1">
      <alignment horizontal="center" vertical="center"/>
      <protection/>
    </xf>
    <xf numFmtId="0" fontId="28" fillId="5" borderId="68" xfId="26" applyFont="1" applyFill="1" applyBorder="1" applyAlignment="1">
      <alignment horizontal="center" vertical="center"/>
      <protection/>
    </xf>
    <xf numFmtId="0" fontId="28" fillId="5" borderId="87" xfId="26" applyFont="1" applyFill="1" applyBorder="1" applyAlignment="1">
      <alignment horizontal="center" vertical="center"/>
      <protection/>
    </xf>
    <xf numFmtId="0" fontId="28" fillId="5" borderId="84" xfId="26" applyFont="1" applyFill="1" applyBorder="1" applyAlignment="1">
      <alignment horizontal="center" vertical="center"/>
      <protection/>
    </xf>
    <xf numFmtId="0" fontId="28" fillId="5" borderId="58" xfId="26" applyFont="1" applyFill="1" applyBorder="1" applyAlignment="1">
      <alignment horizontal="center" vertical="center"/>
      <protection/>
    </xf>
    <xf numFmtId="0" fontId="28" fillId="5" borderId="59" xfId="26" applyFont="1" applyFill="1" applyBorder="1" applyAlignment="1">
      <alignment horizontal="center" vertical="center"/>
      <protection/>
    </xf>
    <xf numFmtId="0" fontId="28" fillId="5" borderId="78" xfId="26" applyFont="1" applyFill="1" applyBorder="1" applyAlignment="1">
      <alignment horizontal="center" vertical="center"/>
      <protection/>
    </xf>
    <xf numFmtId="0" fontId="28" fillId="5" borderId="68" xfId="26" applyFont="1" applyFill="1" applyBorder="1" applyAlignment="1">
      <alignment horizontal="center" vertical="center" wrapText="1"/>
      <protection/>
    </xf>
    <xf numFmtId="0" fontId="28" fillId="5" borderId="59" xfId="26" applyFont="1" applyFill="1" applyBorder="1" applyAlignment="1">
      <alignment/>
      <protection/>
    </xf>
    <xf numFmtId="0" fontId="28" fillId="5" borderId="67" xfId="26" applyFont="1" applyFill="1" applyBorder="1" applyAlignment="1">
      <alignment horizontal="center" vertical="center"/>
      <protection/>
    </xf>
    <xf numFmtId="0" fontId="28" fillId="5" borderId="66" xfId="26" applyFont="1" applyFill="1" applyBorder="1" applyAlignment="1">
      <alignment horizontal="center" vertical="center" wrapText="1"/>
      <protection/>
    </xf>
    <xf numFmtId="0" fontId="28" fillId="5" borderId="71" xfId="26" applyFont="1" applyFill="1" applyBorder="1" applyAlignment="1">
      <alignment/>
      <protection/>
    </xf>
    <xf numFmtId="0" fontId="28" fillId="5" borderId="222" xfId="26" applyFont="1" applyFill="1" applyBorder="1" applyAlignment="1">
      <alignment vertical="center"/>
      <protection/>
    </xf>
    <xf numFmtId="0" fontId="29" fillId="8" borderId="67" xfId="26" applyFill="1" applyBorder="1" applyAlignment="1">
      <alignment horizontal="center" vertical="center" wrapText="1"/>
      <protection/>
    </xf>
    <xf numFmtId="0" fontId="29" fillId="8" borderId="68" xfId="26" applyFill="1" applyBorder="1" applyAlignment="1">
      <alignment horizontal="center" vertical="center" wrapText="1"/>
      <protection/>
    </xf>
    <xf numFmtId="0" fontId="29" fillId="8" borderId="19" xfId="26" applyFont="1" applyFill="1" applyBorder="1" applyAlignment="1">
      <alignment horizontal="center" vertical="center" wrapText="1"/>
      <protection/>
    </xf>
    <xf numFmtId="0" fontId="29" fillId="8" borderId="110" xfId="26" applyFont="1" applyFill="1" applyBorder="1" applyAlignment="1">
      <alignment horizontal="center" vertical="center" wrapText="1"/>
      <protection/>
    </xf>
    <xf numFmtId="0" fontId="28" fillId="8" borderId="67" xfId="26" applyFont="1" applyFill="1" applyBorder="1" applyAlignment="1">
      <alignment horizontal="center" vertical="center" wrapText="1"/>
      <protection/>
    </xf>
    <xf numFmtId="0" fontId="29" fillId="8" borderId="58" xfId="26" applyFill="1" applyBorder="1" applyAlignment="1">
      <alignment/>
      <protection/>
    </xf>
    <xf numFmtId="0" fontId="29" fillId="8" borderId="67" xfId="26" applyFill="1" applyBorder="1" applyAlignment="1">
      <alignment horizontal="center" vertical="center"/>
      <protection/>
    </xf>
    <xf numFmtId="0" fontId="29" fillId="0" borderId="71" xfId="26" applyBorder="1" applyAlignment="1">
      <alignment vertical="center"/>
      <protection/>
    </xf>
    <xf numFmtId="0" fontId="29" fillId="0" borderId="58" xfId="26" applyBorder="1" applyAlignment="1">
      <alignment vertical="center"/>
      <protection/>
    </xf>
    <xf numFmtId="3" fontId="29" fillId="0" borderId="92" xfId="26" applyNumberFormat="1" applyBorder="1" applyAlignment="1">
      <alignment horizontal="right"/>
      <protection/>
    </xf>
    <xf numFmtId="0" fontId="0" fillId="0" borderId="91" xfId="0" applyBorder="1" applyAlignment="1">
      <alignment/>
    </xf>
    <xf numFmtId="0" fontId="29" fillId="0" borderId="71" xfId="26" applyBorder="1" applyAlignment="1">
      <alignment horizontal="left" vertical="center"/>
      <protection/>
    </xf>
    <xf numFmtId="0" fontId="29" fillId="0" borderId="58" xfId="26" applyBorder="1" applyAlignment="1">
      <alignment horizontal="left" vertical="center"/>
      <protection/>
    </xf>
    <xf numFmtId="0" fontId="29" fillId="0" borderId="34" xfId="26" applyBorder="1" applyAlignment="1">
      <alignment horizontal="left" vertical="center"/>
      <protection/>
    </xf>
    <xf numFmtId="0" fontId="29" fillId="0" borderId="71" xfId="26" applyBorder="1" applyAlignment="1">
      <alignment horizontal="left" vertical="center" wrapText="1"/>
      <protection/>
    </xf>
    <xf numFmtId="0" fontId="29" fillId="0" borderId="58" xfId="26" applyBorder="1" applyAlignment="1">
      <alignment horizontal="left" vertical="center" wrapText="1"/>
      <protection/>
    </xf>
    <xf numFmtId="0" fontId="29" fillId="0" borderId="34" xfId="26" applyBorder="1" applyAlignment="1">
      <alignment horizontal="left" vertical="center" wrapText="1"/>
      <protection/>
    </xf>
    <xf numFmtId="0" fontId="29" fillId="0" borderId="76" xfId="26" applyBorder="1" applyAlignment="1">
      <alignment horizontal="left" vertical="center"/>
      <protection/>
    </xf>
    <xf numFmtId="0" fontId="29" fillId="0" borderId="77" xfId="26" applyBorder="1" applyAlignment="1">
      <alignment horizontal="left" vertical="center"/>
      <protection/>
    </xf>
    <xf numFmtId="0" fontId="29" fillId="0" borderId="92" xfId="26" applyBorder="1" applyAlignment="1">
      <alignment horizontal="left" vertical="center"/>
      <protection/>
    </xf>
    <xf numFmtId="3" fontId="29" fillId="0" borderId="34" xfId="26" applyNumberFormat="1" applyBorder="1" applyAlignment="1">
      <alignment horizontal="right"/>
      <protection/>
    </xf>
    <xf numFmtId="0" fontId="0" fillId="0" borderId="85" xfId="0" applyBorder="1" applyAlignment="1">
      <alignment/>
    </xf>
    <xf numFmtId="0" fontId="28" fillId="8" borderId="66" xfId="26" applyFont="1" applyFill="1" applyBorder="1" applyAlignment="1">
      <alignment/>
      <protection/>
    </xf>
    <xf numFmtId="0" fontId="28" fillId="8" borderId="67" xfId="26" applyFont="1" applyFill="1" applyBorder="1" applyAlignment="1">
      <alignment/>
      <protection/>
    </xf>
    <xf numFmtId="0" fontId="29" fillId="0" borderId="76" xfId="26" applyBorder="1" applyAlignment="1">
      <alignment vertical="center"/>
      <protection/>
    </xf>
    <xf numFmtId="0" fontId="29" fillId="0" borderId="77" xfId="26" applyBorder="1" applyAlignment="1">
      <alignment vertical="center"/>
      <protection/>
    </xf>
    <xf numFmtId="0" fontId="28" fillId="0" borderId="0" xfId="26" applyFont="1" applyBorder="1" applyAlignment="1">
      <alignment wrapText="1"/>
      <protection/>
    </xf>
    <xf numFmtId="0" fontId="28" fillId="8" borderId="89" xfId="26" applyFont="1" applyFill="1" applyBorder="1" applyAlignment="1">
      <alignment horizontal="center" vertical="center" wrapText="1"/>
      <protection/>
    </xf>
    <xf numFmtId="0" fontId="28" fillId="8" borderId="88" xfId="26" applyFont="1" applyFill="1" applyBorder="1" applyAlignment="1">
      <alignment horizontal="center" vertical="center" wrapText="1"/>
      <protection/>
    </xf>
    <xf numFmtId="0" fontId="28" fillId="8" borderId="87" xfId="26" applyFont="1" applyFill="1" applyBorder="1" applyAlignment="1">
      <alignment horizontal="center" vertical="center" wrapText="1"/>
      <protection/>
    </xf>
    <xf numFmtId="0" fontId="28" fillId="8" borderId="84" xfId="26" applyFont="1" applyFill="1" applyBorder="1" applyAlignment="1">
      <alignment horizontal="center" vertical="center" wrapText="1"/>
      <protection/>
    </xf>
    <xf numFmtId="0" fontId="29" fillId="0" borderId="110" xfId="26" applyBorder="1" applyAlignment="1">
      <alignment horizontal="left" vertical="center"/>
      <protection/>
    </xf>
    <xf numFmtId="0" fontId="29" fillId="0" borderId="108" xfId="26" applyBorder="1" applyAlignment="1">
      <alignment horizontal="left" vertical="center"/>
      <protection/>
    </xf>
    <xf numFmtId="0" fontId="29" fillId="0" borderId="111" xfId="26" applyBorder="1" applyAlignment="1">
      <alignment horizontal="left" vertical="center"/>
      <protection/>
    </xf>
    <xf numFmtId="0" fontId="28" fillId="8" borderId="30" xfId="26" applyFont="1" applyFill="1" applyBorder="1" applyAlignment="1">
      <alignment horizontal="center" vertical="center"/>
      <protection/>
    </xf>
    <xf numFmtId="0" fontId="28" fillId="8" borderId="87" xfId="26" applyFont="1" applyFill="1" applyBorder="1" applyAlignment="1">
      <alignment horizontal="center" vertical="center"/>
      <protection/>
    </xf>
    <xf numFmtId="0" fontId="28" fillId="8" borderId="88" xfId="26" applyFont="1" applyFill="1" applyBorder="1" applyAlignment="1">
      <alignment horizontal="center" vertical="center"/>
      <protection/>
    </xf>
    <xf numFmtId="3" fontId="29" fillId="0" borderId="82" xfId="26" applyNumberFormat="1" applyBorder="1" applyAlignment="1">
      <alignment horizontal="right"/>
      <protection/>
    </xf>
    <xf numFmtId="3" fontId="29" fillId="0" borderId="93" xfId="26" applyNumberFormat="1" applyBorder="1" applyAlignment="1">
      <alignment horizontal="right"/>
      <protection/>
    </xf>
    <xf numFmtId="0" fontId="28" fillId="8" borderId="223" xfId="26" applyFont="1" applyFill="1" applyBorder="1" applyAlignment="1">
      <alignment vertical="center"/>
      <protection/>
    </xf>
    <xf numFmtId="0" fontId="28" fillId="8" borderId="204" xfId="26" applyFont="1" applyFill="1" applyBorder="1" applyAlignment="1">
      <alignment vertical="center"/>
      <protection/>
    </xf>
    <xf numFmtId="0" fontId="28" fillId="5" borderId="117" xfId="26" applyFont="1" applyFill="1" applyBorder="1" applyAlignment="1">
      <alignment horizontal="center" vertical="center" wrapText="1"/>
      <protection/>
    </xf>
    <xf numFmtId="0" fontId="28" fillId="5" borderId="135" xfId="26" applyFont="1" applyFill="1" applyBorder="1" applyAlignment="1">
      <alignment horizontal="center" vertical="center" wrapText="1"/>
      <protection/>
    </xf>
    <xf numFmtId="0" fontId="28" fillId="5" borderId="123" xfId="26" applyFont="1" applyFill="1" applyBorder="1" applyAlignment="1">
      <alignment horizontal="center" vertical="center" wrapText="1"/>
      <protection/>
    </xf>
    <xf numFmtId="0" fontId="28" fillId="5" borderId="138" xfId="26" applyFont="1" applyFill="1" applyBorder="1" applyAlignment="1">
      <alignment horizontal="center" vertical="center" wrapText="1"/>
      <protection/>
    </xf>
    <xf numFmtId="0" fontId="28" fillId="5" borderId="135" xfId="26" applyFont="1" applyFill="1" applyBorder="1" applyAlignment="1">
      <alignment horizontal="center" vertical="center"/>
      <protection/>
    </xf>
    <xf numFmtId="0" fontId="28" fillId="5" borderId="224" xfId="26" applyFont="1" applyFill="1" applyBorder="1" applyAlignment="1">
      <alignment horizontal="center" vertical="center"/>
      <protection/>
    </xf>
    <xf numFmtId="0" fontId="29" fillId="0" borderId="119" xfId="26" applyFont="1" applyBorder="1" applyAlignment="1">
      <alignment horizontal="left" vertical="center" wrapText="1"/>
      <protection/>
    </xf>
    <xf numFmtId="0" fontId="29" fillId="0" borderId="85" xfId="26" applyFont="1" applyBorder="1" applyAlignment="1">
      <alignment horizontal="left" vertical="center" wrapText="1"/>
      <protection/>
    </xf>
    <xf numFmtId="0" fontId="28" fillId="5" borderId="225" xfId="26" applyFont="1" applyFill="1" applyBorder="1" applyAlignment="1">
      <alignment horizontal="center" vertical="center"/>
      <protection/>
    </xf>
    <xf numFmtId="0" fontId="28" fillId="5" borderId="176" xfId="26" applyFont="1" applyFill="1" applyBorder="1" applyAlignment="1">
      <alignment horizontal="center" vertical="center"/>
      <protection/>
    </xf>
    <xf numFmtId="0" fontId="28" fillId="5" borderId="226" xfId="26" applyFont="1" applyFill="1" applyBorder="1" applyAlignment="1">
      <alignment horizontal="center" vertical="center"/>
      <protection/>
    </xf>
    <xf numFmtId="0" fontId="28" fillId="5" borderId="112" xfId="26" applyFont="1" applyFill="1" applyBorder="1" applyAlignment="1">
      <alignment horizontal="center" vertical="center" wrapText="1"/>
      <protection/>
    </xf>
    <xf numFmtId="0" fontId="29" fillId="5" borderId="18" xfId="26" applyFont="1" applyFill="1" applyBorder="1" applyAlignment="1">
      <alignment vertical="center" wrapText="1"/>
      <protection/>
    </xf>
    <xf numFmtId="0" fontId="28" fillId="5" borderId="71" xfId="26" applyFont="1" applyFill="1" applyBorder="1" applyAlignment="1">
      <alignment horizontal="center" vertical="center"/>
      <protection/>
    </xf>
    <xf numFmtId="0" fontId="28" fillId="5" borderId="148" xfId="26" applyFont="1" applyFill="1" applyBorder="1" applyAlignment="1">
      <alignment horizontal="center" vertical="center" wrapText="1"/>
      <protection/>
    </xf>
    <xf numFmtId="0" fontId="28" fillId="5" borderId="227" xfId="26" applyFont="1" applyFill="1" applyBorder="1" applyAlignment="1">
      <alignment horizontal="center" vertical="center" wrapText="1"/>
      <protection/>
    </xf>
    <xf numFmtId="0" fontId="48" fillId="6" borderId="14" xfId="0" applyFont="1" applyFill="1" applyBorder="1" applyAlignment="1">
      <alignment horizontal="center" vertical="center" wrapText="1"/>
    </xf>
    <xf numFmtId="0" fontId="48" fillId="6" borderId="162" xfId="0" applyFont="1" applyFill="1" applyBorder="1" applyAlignment="1">
      <alignment horizontal="center" vertical="center" wrapText="1"/>
    </xf>
    <xf numFmtId="0" fontId="48" fillId="0" borderId="14" xfId="28" applyFont="1" applyBorder="1" applyAlignment="1">
      <alignment vertical="center" wrapText="1"/>
      <protection/>
    </xf>
    <xf numFmtId="0" fontId="68" fillId="0" borderId="162" xfId="0" applyFont="1" applyBorder="1" applyAlignment="1">
      <alignment vertical="center" wrapText="1"/>
    </xf>
    <xf numFmtId="0" fontId="48" fillId="6" borderId="14" xfId="28" applyFont="1" applyFill="1" applyBorder="1" applyAlignment="1">
      <alignment vertical="center" wrapText="1"/>
      <protection/>
    </xf>
    <xf numFmtId="0" fontId="48" fillId="6" borderId="162" xfId="28" applyFont="1" applyFill="1" applyBorder="1" applyAlignment="1">
      <alignment vertical="center" wrapText="1"/>
      <protection/>
    </xf>
    <xf numFmtId="0" fontId="48" fillId="6" borderId="14" xfId="28" applyFont="1" applyFill="1" applyBorder="1" applyAlignment="1">
      <alignment horizontal="left" vertical="center" wrapText="1"/>
      <protection/>
    </xf>
    <xf numFmtId="0" fontId="68" fillId="6" borderId="162" xfId="0" applyFont="1" applyFill="1" applyBorder="1" applyAlignment="1">
      <alignment horizontal="left" vertical="center" wrapText="1"/>
    </xf>
    <xf numFmtId="0" fontId="28" fillId="8" borderId="68" xfId="26" applyFont="1" applyFill="1" applyBorder="1" applyAlignment="1">
      <alignment horizontal="center" vertical="center" wrapText="1"/>
      <protection/>
    </xf>
    <xf numFmtId="0" fontId="28" fillId="8" borderId="59" xfId="26" applyFont="1" applyFill="1" applyBorder="1" applyAlignment="1">
      <alignment horizontal="center" vertical="center" wrapText="1"/>
      <protection/>
    </xf>
    <xf numFmtId="0" fontId="28" fillId="8" borderId="66" xfId="26" applyFont="1" applyFill="1" applyBorder="1" applyAlignment="1">
      <alignment horizontal="center" vertical="center" wrapText="1"/>
      <protection/>
    </xf>
    <xf numFmtId="0" fontId="28" fillId="8" borderId="71" xfId="26" applyFont="1" applyFill="1" applyBorder="1" applyAlignment="1">
      <alignment horizontal="center" vertical="center" wrapText="1"/>
      <protection/>
    </xf>
    <xf numFmtId="0" fontId="28" fillId="8" borderId="58" xfId="26" applyFont="1" applyFill="1" applyBorder="1" applyAlignment="1">
      <alignment horizontal="center" vertical="center" wrapText="1"/>
      <protection/>
    </xf>
    <xf numFmtId="0" fontId="28" fillId="8" borderId="67" xfId="26" applyFont="1" applyFill="1" applyBorder="1" applyAlignment="1">
      <alignment horizontal="center" vertical="center"/>
      <protection/>
    </xf>
    <xf numFmtId="0" fontId="28" fillId="0" borderId="195" xfId="28" applyFont="1" applyBorder="1" applyAlignment="1">
      <alignment horizontal="center" vertical="center" wrapText="1"/>
      <protection/>
    </xf>
    <xf numFmtId="0" fontId="28" fillId="0" borderId="130" xfId="28" applyFont="1" applyBorder="1" applyAlignment="1">
      <alignment horizontal="center" vertical="center" wrapText="1"/>
      <protection/>
    </xf>
    <xf numFmtId="0" fontId="28" fillId="0" borderId="1" xfId="28" applyFont="1" applyBorder="1" applyAlignment="1">
      <alignment horizontal="center" vertical="center" wrapText="1"/>
      <protection/>
    </xf>
    <xf numFmtId="0" fontId="28" fillId="0" borderId="8" xfId="28" applyFont="1" applyBorder="1" applyAlignment="1">
      <alignment horizontal="center" vertical="center" wrapText="1"/>
      <protection/>
    </xf>
    <xf numFmtId="0" fontId="28" fillId="0" borderId="30" xfId="28" applyFont="1" applyBorder="1" applyAlignment="1">
      <alignment horizontal="center" vertical="center" wrapText="1"/>
      <protection/>
    </xf>
    <xf numFmtId="0" fontId="28" fillId="0" borderId="84" xfId="28" applyFont="1" applyBorder="1" applyAlignment="1">
      <alignment horizontal="center" vertical="center" wrapText="1"/>
      <protection/>
    </xf>
    <xf numFmtId="0" fontId="28" fillId="0" borderId="14" xfId="28" applyFont="1" applyBorder="1" applyAlignment="1">
      <alignment horizontal="left" vertical="center" wrapText="1"/>
      <protection/>
    </xf>
    <xf numFmtId="0" fontId="28" fillId="0" borderId="3" xfId="28" applyFont="1" applyBorder="1" applyAlignment="1">
      <alignment horizontal="left" vertical="center" wrapText="1"/>
      <protection/>
    </xf>
    <xf numFmtId="0" fontId="28" fillId="8" borderId="76" xfId="26" applyFont="1" applyFill="1" applyBorder="1" applyAlignment="1">
      <alignment horizontal="center" vertical="center"/>
      <protection/>
    </xf>
    <xf numFmtId="0" fontId="28" fillId="8" borderId="77" xfId="26" applyFont="1" applyFill="1" applyBorder="1" applyAlignment="1">
      <alignment horizontal="center" vertical="center"/>
      <protection/>
    </xf>
    <xf numFmtId="0" fontId="28" fillId="8" borderId="94" xfId="26" applyFont="1" applyFill="1" applyBorder="1" applyAlignment="1">
      <alignment horizontal="center" vertical="center"/>
      <protection/>
    </xf>
    <xf numFmtId="0" fontId="28" fillId="8" borderId="95" xfId="26" applyFont="1" applyFill="1" applyBorder="1" applyAlignment="1">
      <alignment horizontal="center" vertical="center"/>
      <protection/>
    </xf>
    <xf numFmtId="0" fontId="29" fillId="0" borderId="110" xfId="26" applyBorder="1" applyAlignment="1">
      <alignment vertical="center"/>
      <protection/>
    </xf>
    <xf numFmtId="0" fontId="29" fillId="0" borderId="108" xfId="26" applyBorder="1" applyAlignment="1">
      <alignment vertical="center"/>
      <protection/>
    </xf>
    <xf numFmtId="0" fontId="29" fillId="0" borderId="71" xfId="26" applyBorder="1" applyAlignment="1">
      <alignment vertical="center" wrapText="1"/>
      <protection/>
    </xf>
    <xf numFmtId="0" fontId="29" fillId="0" borderId="58" xfId="26" applyBorder="1" applyAlignment="1">
      <alignment vertical="center" wrapText="1"/>
      <protection/>
    </xf>
    <xf numFmtId="0" fontId="48" fillId="6" borderId="87" xfId="28" applyFont="1" applyFill="1" applyBorder="1" applyAlignment="1">
      <alignment horizontal="center" vertical="center" wrapText="1"/>
      <protection/>
    </xf>
    <xf numFmtId="0" fontId="48" fillId="6" borderId="84" xfId="28" applyFont="1" applyFill="1" applyBorder="1" applyAlignment="1">
      <alignment horizontal="center" vertical="center" wrapText="1"/>
      <protection/>
    </xf>
    <xf numFmtId="0" fontId="48" fillId="2" borderId="14" xfId="28" applyFont="1" applyFill="1" applyBorder="1" applyAlignment="1">
      <alignment horizontal="left" vertical="center" wrapText="1"/>
      <protection/>
    </xf>
    <xf numFmtId="0" fontId="48" fillId="2" borderId="162" xfId="28" applyFont="1" applyFill="1" applyBorder="1" applyAlignment="1">
      <alignment horizontal="left" vertical="center" wrapText="1"/>
      <protection/>
    </xf>
    <xf numFmtId="0" fontId="48" fillId="0" borderId="14" xfId="28" applyFont="1" applyBorder="1" applyAlignment="1">
      <alignment horizontal="left" vertical="center" wrapText="1"/>
      <protection/>
    </xf>
    <xf numFmtId="0" fontId="48" fillId="0" borderId="162" xfId="28" applyFont="1" applyBorder="1" applyAlignment="1">
      <alignment horizontal="left" vertical="center" wrapText="1"/>
      <protection/>
    </xf>
    <xf numFmtId="0" fontId="30" fillId="6" borderId="195" xfId="28" applyFont="1" applyFill="1" applyBorder="1" applyAlignment="1">
      <alignment horizontal="center" vertical="center" wrapText="1"/>
      <protection/>
    </xf>
    <xf numFmtId="0" fontId="30" fillId="6" borderId="160" xfId="28" applyFont="1" applyFill="1" applyBorder="1" applyAlignment="1">
      <alignment horizontal="center" vertical="center" wrapText="1"/>
      <protection/>
    </xf>
    <xf numFmtId="0" fontId="30" fillId="6" borderId="1" xfId="28" applyFont="1" applyFill="1" applyBorder="1" applyAlignment="1">
      <alignment horizontal="center" vertical="center" wrapText="1"/>
      <protection/>
    </xf>
    <xf numFmtId="0" fontId="30" fillId="6" borderId="83" xfId="28" applyFont="1" applyFill="1" applyBorder="1" applyAlignment="1">
      <alignment horizontal="center" vertical="center" wrapText="1"/>
      <protection/>
    </xf>
    <xf numFmtId="0" fontId="48" fillId="6" borderId="0" xfId="28" applyFont="1" applyFill="1" applyBorder="1" applyAlignment="1">
      <alignment horizontal="left" vertical="center" wrapText="1"/>
      <protection/>
    </xf>
    <xf numFmtId="0" fontId="48" fillId="6" borderId="162" xfId="28" applyFont="1" applyFill="1" applyBorder="1" applyAlignment="1">
      <alignment horizontal="left" vertical="center" wrapText="1"/>
      <protection/>
    </xf>
    <xf numFmtId="0" fontId="48" fillId="0" borderId="1" xfId="28" applyFont="1" applyBorder="1" applyAlignment="1">
      <alignment horizontal="left" vertical="center" wrapText="1"/>
      <protection/>
    </xf>
    <xf numFmtId="0" fontId="48" fillId="0" borderId="83" xfId="28" applyFont="1" applyBorder="1" applyAlignment="1">
      <alignment horizontal="left" vertical="center" wrapText="1"/>
      <protection/>
    </xf>
    <xf numFmtId="0" fontId="40" fillId="0" borderId="0" xfId="25" applyNumberFormat="1" applyFont="1" applyAlignment="1">
      <alignment horizontal="center"/>
      <protection/>
    </xf>
    <xf numFmtId="0" fontId="53" fillId="0" borderId="14" xfId="28" applyFont="1" applyBorder="1" applyAlignment="1">
      <alignment vertical="center" wrapText="1"/>
      <protection/>
    </xf>
    <xf numFmtId="0" fontId="0" fillId="0" borderId="162" xfId="0" applyBorder="1" applyAlignment="1">
      <alignment vertical="center" wrapText="1"/>
    </xf>
    <xf numFmtId="0" fontId="53" fillId="0" borderId="195" xfId="28" applyFont="1" applyBorder="1" applyAlignment="1">
      <alignment horizontal="center" vertical="center" wrapText="1"/>
      <protection/>
    </xf>
    <xf numFmtId="0" fontId="0" fillId="0" borderId="160" xfId="0" applyBorder="1" applyAlignment="1">
      <alignment horizontal="center" vertical="center" wrapText="1"/>
    </xf>
    <xf numFmtId="0" fontId="53" fillId="0" borderId="1" xfId="28" applyFont="1" applyBorder="1" applyAlignment="1">
      <alignment horizontal="center" vertical="center" wrapText="1"/>
      <protection/>
    </xf>
    <xf numFmtId="0" fontId="0" fillId="0" borderId="83" xfId="0" applyBorder="1" applyAlignment="1">
      <alignment horizontal="center" vertical="center" wrapText="1"/>
    </xf>
    <xf numFmtId="0" fontId="53" fillId="0" borderId="30" xfId="28" applyFont="1" applyBorder="1" applyAlignment="1">
      <alignment horizontal="center" vertical="center" wrapText="1"/>
      <protection/>
    </xf>
    <xf numFmtId="0" fontId="53" fillId="0" borderId="84" xfId="28" applyFont="1" applyBorder="1" applyAlignment="1">
      <alignment horizontal="center" vertical="center" wrapText="1"/>
      <protection/>
    </xf>
    <xf numFmtId="0" fontId="28" fillId="0" borderId="30" xfId="26" applyFont="1" applyBorder="1" applyAlignment="1">
      <alignment horizontal="center" vertical="center"/>
      <protection/>
    </xf>
    <xf numFmtId="0" fontId="28" fillId="0" borderId="87" xfId="26" applyFont="1" applyBorder="1" applyAlignment="1">
      <alignment horizontal="center" vertical="center"/>
      <protection/>
    </xf>
    <xf numFmtId="0" fontId="28" fillId="0" borderId="88" xfId="26" applyFont="1" applyBorder="1" applyAlignment="1">
      <alignment horizontal="center" vertical="center"/>
      <protection/>
    </xf>
    <xf numFmtId="0" fontId="28" fillId="0" borderId="228" xfId="26" applyFont="1" applyBorder="1" applyAlignment="1">
      <alignment horizontal="center" wrapText="1"/>
      <protection/>
    </xf>
    <xf numFmtId="0" fontId="28" fillId="0" borderId="6" xfId="26" applyFont="1" applyBorder="1" applyAlignment="1">
      <alignment horizontal="center" wrapText="1"/>
      <protection/>
    </xf>
    <xf numFmtId="0" fontId="48" fillId="0" borderId="87" xfId="28" applyFont="1" applyFill="1" applyBorder="1" applyAlignment="1">
      <alignment horizontal="center" vertical="center" wrapText="1"/>
      <protection/>
    </xf>
    <xf numFmtId="0" fontId="48" fillId="0" borderId="84" xfId="28" applyFont="1" applyFill="1" applyBorder="1" applyAlignment="1">
      <alignment horizontal="center" vertical="center" wrapText="1"/>
      <protection/>
    </xf>
    <xf numFmtId="0" fontId="48" fillId="0" borderId="19" xfId="28" applyFont="1" applyFill="1" applyBorder="1" applyAlignment="1">
      <alignment horizontal="center" vertical="center" wrapText="1"/>
      <protection/>
    </xf>
    <xf numFmtId="0" fontId="48" fillId="0" borderId="65" xfId="28" applyFont="1" applyFill="1" applyBorder="1" applyAlignment="1">
      <alignment horizontal="center" vertical="center" wrapText="1"/>
      <protection/>
    </xf>
    <xf numFmtId="0" fontId="28" fillId="0" borderId="14" xfId="28" applyFont="1" applyFill="1" applyBorder="1" applyAlignment="1">
      <alignment horizontal="left" vertical="center" wrapText="1"/>
      <protection/>
    </xf>
    <xf numFmtId="0" fontId="28" fillId="0" borderId="3" xfId="28" applyFont="1" applyFill="1" applyBorder="1" applyAlignment="1">
      <alignment horizontal="left" vertical="center" wrapText="1"/>
      <protection/>
    </xf>
    <xf numFmtId="0" fontId="28" fillId="0" borderId="132" xfId="28" applyFont="1" applyFill="1" applyBorder="1" applyAlignment="1">
      <alignment horizontal="left" vertical="center" wrapText="1"/>
      <protection/>
    </xf>
    <xf numFmtId="0" fontId="28" fillId="2" borderId="14" xfId="28" applyFont="1" applyFill="1" applyBorder="1" applyAlignment="1">
      <alignment horizontal="left" vertical="center" wrapText="1"/>
      <protection/>
    </xf>
    <xf numFmtId="0" fontId="28" fillId="2" borderId="3" xfId="28" applyFont="1" applyFill="1" applyBorder="1" applyAlignment="1">
      <alignment horizontal="left" vertical="center" wrapText="1"/>
      <protection/>
    </xf>
    <xf numFmtId="0" fontId="28" fillId="2" borderId="132" xfId="28" applyFont="1" applyFill="1" applyBorder="1" applyAlignment="1">
      <alignment horizontal="left" vertical="center" wrapText="1"/>
      <protection/>
    </xf>
    <xf numFmtId="0" fontId="28" fillId="8" borderId="14" xfId="28" applyFont="1" applyFill="1" applyBorder="1" applyAlignment="1">
      <alignment horizontal="center" vertical="center" wrapText="1"/>
      <protection/>
    </xf>
    <xf numFmtId="0" fontId="28" fillId="8" borderId="3" xfId="28" applyFont="1" applyFill="1" applyBorder="1" applyAlignment="1">
      <alignment horizontal="center" vertical="center" wrapText="1"/>
      <protection/>
    </xf>
    <xf numFmtId="0" fontId="28" fillId="8" borderId="132" xfId="28" applyFont="1" applyFill="1" applyBorder="1" applyAlignment="1">
      <alignment horizontal="center" vertical="center" wrapText="1"/>
      <protection/>
    </xf>
    <xf numFmtId="0" fontId="48" fillId="0" borderId="88" xfId="28" applyFont="1" applyBorder="1" applyAlignment="1">
      <alignment horizontal="center" vertical="center" wrapText="1"/>
      <protection/>
    </xf>
    <xf numFmtId="0" fontId="48" fillId="0" borderId="67" xfId="28" applyFont="1" applyBorder="1" applyAlignment="1">
      <alignment horizontal="center" vertical="center" wrapText="1"/>
      <protection/>
    </xf>
    <xf numFmtId="0" fontId="48" fillId="0" borderId="68" xfId="28" applyFont="1" applyBorder="1" applyAlignment="1">
      <alignment horizontal="center" vertical="center" wrapText="1"/>
      <protection/>
    </xf>
    <xf numFmtId="0" fontId="48" fillId="0" borderId="57" xfId="28" applyFont="1" applyBorder="1" applyAlignment="1">
      <alignment horizontal="center" vertical="center" wrapText="1"/>
      <protection/>
    </xf>
    <xf numFmtId="0" fontId="48" fillId="0" borderId="31" xfId="28" applyFont="1" applyBorder="1" applyAlignment="1">
      <alignment horizontal="center" vertical="center" wrapText="1"/>
      <protection/>
    </xf>
    <xf numFmtId="0" fontId="68" fillId="0" borderId="28" xfId="26" applyFont="1" applyBorder="1" applyAlignment="1">
      <alignment horizontal="center"/>
      <protection/>
    </xf>
    <xf numFmtId="0" fontId="68" fillId="0" borderId="23" xfId="26" applyFont="1" applyBorder="1" applyAlignment="1">
      <alignment horizontal="center"/>
      <protection/>
    </xf>
    <xf numFmtId="0" fontId="68" fillId="0" borderId="85" xfId="26" applyFont="1" applyBorder="1" applyAlignment="1">
      <alignment horizontal="center"/>
      <protection/>
    </xf>
    <xf numFmtId="0" fontId="46" fillId="8" borderId="66" xfId="26" applyFont="1" applyFill="1" applyBorder="1" applyAlignment="1">
      <alignment horizontal="center" vertical="center" wrapText="1"/>
      <protection/>
    </xf>
    <xf numFmtId="0" fontId="46" fillId="8" borderId="71" xfId="26" applyFont="1" applyFill="1" applyBorder="1" applyAlignment="1">
      <alignment horizontal="center" vertical="center" wrapText="1"/>
      <protection/>
    </xf>
    <xf numFmtId="0" fontId="46" fillId="8" borderId="67" xfId="26" applyFont="1" applyFill="1" applyBorder="1" applyAlignment="1">
      <alignment horizontal="center" vertical="center" wrapText="1"/>
      <protection/>
    </xf>
    <xf numFmtId="0" fontId="68" fillId="0" borderId="34" xfId="26" applyFont="1" applyBorder="1" applyAlignment="1">
      <alignment horizontal="center"/>
      <protection/>
    </xf>
    <xf numFmtId="0" fontId="68" fillId="0" borderId="82" xfId="26" applyFont="1" applyBorder="1" applyAlignment="1">
      <alignment horizontal="center"/>
      <protection/>
    </xf>
    <xf numFmtId="0" fontId="68" fillId="0" borderId="92" xfId="26" applyFont="1" applyBorder="1" applyAlignment="1">
      <alignment horizontal="center"/>
      <protection/>
    </xf>
    <xf numFmtId="0" fontId="68" fillId="0" borderId="90" xfId="26" applyFont="1" applyBorder="1" applyAlignment="1">
      <alignment horizontal="center"/>
      <protection/>
    </xf>
    <xf numFmtId="0" fontId="68" fillId="0" borderId="93" xfId="26" applyFont="1" applyBorder="1" applyAlignment="1">
      <alignment horizontal="center"/>
      <protection/>
    </xf>
    <xf numFmtId="0" fontId="46" fillId="8" borderId="89" xfId="26" applyFont="1" applyFill="1" applyBorder="1" applyAlignment="1">
      <alignment horizontal="center" vertical="center" wrapText="1"/>
      <protection/>
    </xf>
    <xf numFmtId="0" fontId="46" fillId="8" borderId="84" xfId="26" applyFont="1" applyFill="1" applyBorder="1" applyAlignment="1">
      <alignment horizontal="center" vertical="center" wrapText="1"/>
      <protection/>
    </xf>
    <xf numFmtId="0" fontId="68" fillId="0" borderId="29" xfId="26" applyFont="1" applyBorder="1" applyAlignment="1">
      <alignment horizontal="center"/>
      <protection/>
    </xf>
    <xf numFmtId="0" fontId="68" fillId="0" borderId="91" xfId="26" applyFont="1" applyBorder="1" applyAlignment="1">
      <alignment horizontal="center"/>
      <protection/>
    </xf>
    <xf numFmtId="0" fontId="28" fillId="2" borderId="162" xfId="28" applyFont="1" applyFill="1" applyBorder="1" applyAlignment="1">
      <alignment horizontal="left" vertical="center" wrapText="1"/>
      <protection/>
    </xf>
    <xf numFmtId="0" fontId="28" fillId="2" borderId="1" xfId="28" applyFont="1" applyFill="1" applyBorder="1" applyAlignment="1">
      <alignment horizontal="left" vertical="center" wrapText="1"/>
      <protection/>
    </xf>
    <xf numFmtId="0" fontId="28" fillId="2" borderId="83" xfId="28" applyFont="1" applyFill="1" applyBorder="1" applyAlignment="1">
      <alignment horizontal="left" vertical="center" wrapText="1"/>
      <protection/>
    </xf>
    <xf numFmtId="0" fontId="28" fillId="2" borderId="30" xfId="28" applyFont="1" applyFill="1" applyBorder="1" applyAlignment="1">
      <alignment horizontal="center" vertical="center" wrapText="1"/>
      <protection/>
    </xf>
    <xf numFmtId="0" fontId="28" fillId="2" borderId="84" xfId="28" applyFont="1" applyFill="1" applyBorder="1" applyAlignment="1">
      <alignment horizontal="center" vertical="center" wrapText="1"/>
      <protection/>
    </xf>
    <xf numFmtId="0" fontId="41" fillId="0" borderId="216" xfId="28" applyFont="1" applyBorder="1" applyAlignment="1">
      <alignment horizontal="left" vertical="center" wrapText="1"/>
      <protection/>
    </xf>
    <xf numFmtId="0" fontId="41" fillId="0" borderId="100" xfId="28" applyFont="1" applyBorder="1" applyAlignment="1">
      <alignment horizontal="left" vertical="center" wrapText="1"/>
      <protection/>
    </xf>
    <xf numFmtId="0" fontId="28" fillId="2" borderId="195" xfId="28" applyFont="1" applyFill="1" applyBorder="1" applyAlignment="1">
      <alignment horizontal="center" vertical="center" wrapText="1"/>
      <protection/>
    </xf>
    <xf numFmtId="0" fontId="29" fillId="2" borderId="130" xfId="26" applyFont="1" applyFill="1" applyBorder="1" applyAlignment="1">
      <alignment horizontal="center" vertical="center" wrapText="1"/>
      <protection/>
    </xf>
    <xf numFmtId="0" fontId="28" fillId="2" borderId="1" xfId="28" applyFont="1" applyFill="1" applyBorder="1" applyAlignment="1">
      <alignment horizontal="center" vertical="center" wrapText="1"/>
      <protection/>
    </xf>
    <xf numFmtId="0" fontId="29" fillId="2" borderId="8" xfId="26" applyFont="1" applyFill="1" applyBorder="1" applyAlignment="1">
      <alignment horizontal="center" vertical="center" wrapText="1"/>
      <protection/>
    </xf>
    <xf numFmtId="0" fontId="41" fillId="0" borderId="29" xfId="28" applyFont="1" applyBorder="1" applyAlignment="1">
      <alignment horizontal="left" vertical="center" wrapText="1"/>
      <protection/>
    </xf>
    <xf numFmtId="0" fontId="41" fillId="0" borderId="90" xfId="28" applyFont="1" applyBorder="1" applyAlignment="1">
      <alignment horizontal="left" vertical="center" wrapText="1"/>
      <protection/>
    </xf>
    <xf numFmtId="0" fontId="28" fillId="0" borderId="0" xfId="26" applyFont="1" applyAlignment="1">
      <alignment horizontal="left" wrapText="1"/>
      <protection/>
    </xf>
    <xf numFmtId="0" fontId="29" fillId="8" borderId="110" xfId="26" applyFill="1" applyBorder="1" applyAlignment="1">
      <alignment horizontal="center" wrapText="1"/>
      <protection/>
    </xf>
    <xf numFmtId="0" fontId="48" fillId="2" borderId="196" xfId="28" applyFont="1" applyFill="1" applyBorder="1" applyAlignment="1" applyProtection="1">
      <alignment horizontal="center" vertical="center" wrapText="1"/>
      <protection/>
    </xf>
    <xf numFmtId="0" fontId="48" fillId="2" borderId="87" xfId="28" applyFont="1" applyFill="1" applyBorder="1" applyAlignment="1" applyProtection="1">
      <alignment horizontal="center" vertical="center" wrapText="1"/>
      <protection/>
    </xf>
    <xf numFmtId="0" fontId="48" fillId="2" borderId="30" xfId="28" applyFont="1" applyFill="1" applyBorder="1" applyAlignment="1" applyProtection="1">
      <alignment horizontal="center" vertical="center" wrapText="1"/>
      <protection/>
    </xf>
    <xf numFmtId="0" fontId="48" fillId="2" borderId="84" xfId="28" applyFont="1" applyFill="1" applyBorder="1" applyAlignment="1" applyProtection="1">
      <alignment horizontal="center" vertical="center" wrapText="1"/>
      <protection/>
    </xf>
    <xf numFmtId="0" fontId="48" fillId="6" borderId="166" xfId="28" applyFont="1" applyFill="1" applyBorder="1" applyAlignment="1" applyProtection="1">
      <alignment horizontal="left" vertical="center" wrapText="1"/>
      <protection/>
    </xf>
    <xf numFmtId="0" fontId="48" fillId="6" borderId="167" xfId="28" applyFont="1" applyFill="1" applyBorder="1" applyAlignment="1" applyProtection="1">
      <alignment horizontal="left" vertical="center" wrapText="1"/>
      <protection/>
    </xf>
    <xf numFmtId="0" fontId="48" fillId="2" borderId="117" xfId="28" applyFont="1" applyFill="1" applyBorder="1" applyAlignment="1" applyProtection="1">
      <alignment horizontal="center" vertical="center" wrapText="1"/>
      <protection/>
    </xf>
    <xf numFmtId="0" fontId="48" fillId="2" borderId="135" xfId="28" applyFont="1" applyFill="1" applyBorder="1" applyAlignment="1" applyProtection="1">
      <alignment horizontal="center" vertical="center" wrapText="1"/>
      <protection/>
    </xf>
    <xf numFmtId="0" fontId="48" fillId="2" borderId="136" xfId="28" applyFont="1" applyFill="1" applyBorder="1" applyAlignment="1" applyProtection="1">
      <alignment horizontal="center" vertical="center" wrapText="1"/>
      <protection/>
    </xf>
    <xf numFmtId="0" fontId="48" fillId="2" borderId="118" xfId="28" applyFont="1" applyFill="1" applyBorder="1" applyAlignment="1" applyProtection="1">
      <alignment horizontal="center" vertical="center" wrapText="1"/>
      <protection/>
    </xf>
    <xf numFmtId="0" fontId="48" fillId="2" borderId="229" xfId="28" applyFont="1" applyFill="1" applyBorder="1" applyAlignment="1" applyProtection="1">
      <alignment horizontal="center" vertical="center" wrapText="1"/>
      <protection/>
    </xf>
    <xf numFmtId="0" fontId="48" fillId="6" borderId="230" xfId="28" applyFont="1" applyFill="1" applyBorder="1" applyAlignment="1" applyProtection="1">
      <alignment horizontal="left" vertical="center" wrapText="1"/>
      <protection/>
    </xf>
    <xf numFmtId="0" fontId="48" fillId="6" borderId="162" xfId="28" applyFont="1" applyFill="1" applyBorder="1" applyAlignment="1" applyProtection="1">
      <alignment horizontal="left" vertical="center" wrapText="1"/>
      <protection/>
    </xf>
    <xf numFmtId="0" fontId="48" fillId="6" borderId="231" xfId="28" applyFont="1" applyFill="1" applyBorder="1" applyAlignment="1" applyProtection="1">
      <alignment horizontal="left" vertical="center" wrapText="1"/>
      <protection/>
    </xf>
    <xf numFmtId="0" fontId="48" fillId="6" borderId="232" xfId="28" applyFont="1" applyFill="1" applyBorder="1" applyAlignment="1" applyProtection="1">
      <alignment horizontal="left" vertical="center" wrapText="1"/>
      <protection/>
    </xf>
    <xf numFmtId="0" fontId="48" fillId="6" borderId="230" xfId="28" applyFont="1" applyFill="1" applyBorder="1" applyAlignment="1" applyProtection="1">
      <alignment horizontal="left" vertical="center"/>
      <protection/>
    </xf>
    <xf numFmtId="0" fontId="48" fillId="6" borderId="162" xfId="28" applyFont="1" applyFill="1" applyBorder="1" applyAlignment="1" applyProtection="1">
      <alignment horizontal="left" vertical="center"/>
      <protection/>
    </xf>
    <xf numFmtId="0" fontId="48" fillId="2" borderId="212" xfId="28" applyFont="1" applyFill="1" applyBorder="1" applyAlignment="1" applyProtection="1">
      <alignment horizontal="center" vertical="center" wrapText="1"/>
      <protection/>
    </xf>
    <xf numFmtId="0" fontId="48" fillId="2" borderId="194" xfId="28" applyFont="1" applyFill="1" applyBorder="1" applyAlignment="1" applyProtection="1">
      <alignment horizontal="center" vertical="center" wrapText="1"/>
      <protection/>
    </xf>
    <xf numFmtId="0" fontId="48" fillId="2" borderId="213" xfId="28" applyFont="1" applyFill="1" applyBorder="1" applyAlignment="1" applyProtection="1">
      <alignment horizontal="center" vertical="center" wrapText="1"/>
      <protection/>
    </xf>
    <xf numFmtId="0" fontId="48" fillId="2" borderId="233" xfId="28" applyFont="1" applyFill="1" applyBorder="1" applyAlignment="1" applyProtection="1">
      <alignment horizontal="center" vertical="center" wrapText="1"/>
      <protection/>
    </xf>
    <xf numFmtId="0" fontId="48" fillId="2" borderId="166" xfId="28" applyFont="1" applyFill="1" applyBorder="1" applyAlignment="1" applyProtection="1">
      <alignment horizontal="left" vertical="center"/>
      <protection/>
    </xf>
    <xf numFmtId="0" fontId="48" fillId="2" borderId="190" xfId="28" applyFont="1" applyFill="1" applyBorder="1" applyAlignment="1" applyProtection="1">
      <alignment horizontal="left" vertical="center"/>
      <protection/>
    </xf>
    <xf numFmtId="0" fontId="48" fillId="2" borderId="166" xfId="28" applyFont="1" applyFill="1" applyBorder="1" applyAlignment="1" applyProtection="1">
      <alignment horizontal="left" vertical="center" wrapText="1"/>
      <protection/>
    </xf>
    <xf numFmtId="0" fontId="48" fillId="2" borderId="190" xfId="28" applyFont="1" applyFill="1" applyBorder="1" applyAlignment="1" applyProtection="1">
      <alignment horizontal="left" vertical="center" wrapText="1"/>
      <protection/>
    </xf>
    <xf numFmtId="0" fontId="48" fillId="2" borderId="167" xfId="28" applyFont="1" applyFill="1" applyBorder="1" applyAlignment="1" applyProtection="1">
      <alignment horizontal="left" vertical="center" wrapText="1"/>
      <protection/>
    </xf>
    <xf numFmtId="0" fontId="48" fillId="0" borderId="166" xfId="28" applyFont="1" applyBorder="1" applyAlignment="1">
      <alignment horizontal="left" vertical="center" wrapText="1"/>
      <protection/>
    </xf>
    <xf numFmtId="0" fontId="48" fillId="0" borderId="190" xfId="28" applyFont="1" applyBorder="1" applyAlignment="1">
      <alignment horizontal="left" vertical="center" wrapText="1"/>
      <protection/>
    </xf>
    <xf numFmtId="0" fontId="48" fillId="0" borderId="225" xfId="28" applyFont="1" applyBorder="1" applyAlignment="1">
      <alignment horizontal="center" vertical="center" wrapText="1"/>
      <protection/>
    </xf>
    <xf numFmtId="0" fontId="48" fillId="0" borderId="143" xfId="28" applyFont="1" applyBorder="1" applyAlignment="1">
      <alignment horizontal="center" vertical="center" wrapText="1"/>
      <protection/>
    </xf>
    <xf numFmtId="0" fontId="48" fillId="0" borderId="166" xfId="28" applyFont="1" applyBorder="1" applyAlignment="1">
      <alignment vertical="center" wrapText="1"/>
      <protection/>
    </xf>
    <xf numFmtId="0" fontId="48" fillId="0" borderId="190" xfId="28" applyFont="1" applyBorder="1" applyAlignment="1">
      <alignment vertical="center" wrapText="1"/>
      <protection/>
    </xf>
    <xf numFmtId="0" fontId="48" fillId="0" borderId="166" xfId="28" applyFont="1" applyBorder="1" applyAlignment="1">
      <alignment vertical="center"/>
      <protection/>
    </xf>
    <xf numFmtId="0" fontId="48" fillId="0" borderId="190" xfId="28" applyFont="1" applyBorder="1" applyAlignment="1">
      <alignment vertical="center"/>
      <protection/>
    </xf>
    <xf numFmtId="0" fontId="48" fillId="0" borderId="212" xfId="28" applyFont="1" applyBorder="1" applyAlignment="1">
      <alignment horizontal="left" vertical="center" wrapText="1"/>
      <protection/>
    </xf>
    <xf numFmtId="0" fontId="48" fillId="0" borderId="234" xfId="28" applyFont="1" applyBorder="1" applyAlignment="1">
      <alignment horizontal="left" vertical="center" wrapText="1"/>
      <protection/>
    </xf>
    <xf numFmtId="0" fontId="48" fillId="0" borderId="235" xfId="28" applyFont="1" applyBorder="1" applyAlignment="1">
      <alignment horizontal="center" vertical="center" wrapText="1"/>
      <protection/>
    </xf>
    <xf numFmtId="0" fontId="48" fillId="0" borderId="236" xfId="28" applyFont="1" applyBorder="1" applyAlignment="1">
      <alignment horizontal="center" vertical="center" wrapText="1"/>
      <protection/>
    </xf>
    <xf numFmtId="0" fontId="48" fillId="0" borderId="176" xfId="28" applyFont="1" applyBorder="1" applyAlignment="1">
      <alignment horizontal="center" vertical="center" wrapText="1"/>
      <protection/>
    </xf>
    <xf numFmtId="0" fontId="48" fillId="0" borderId="226" xfId="28" applyFont="1" applyBorder="1" applyAlignment="1">
      <alignment horizontal="center" vertical="center" wrapText="1"/>
      <protection/>
    </xf>
    <xf numFmtId="0" fontId="48" fillId="6" borderId="160" xfId="28" applyFont="1" applyFill="1" applyBorder="1" applyAlignment="1">
      <alignment horizontal="center" vertical="center" wrapText="1"/>
      <protection/>
    </xf>
    <xf numFmtId="0" fontId="48" fillId="6" borderId="83" xfId="28" applyFont="1" applyFill="1" applyBorder="1" applyAlignment="1">
      <alignment horizontal="center" vertical="center" wrapText="1"/>
      <protection/>
    </xf>
    <xf numFmtId="0" fontId="48" fillId="6" borderId="30" xfId="28" applyFont="1" applyFill="1" applyBorder="1" applyAlignment="1">
      <alignment horizontal="center" vertical="center" wrapText="1"/>
      <protection/>
    </xf>
    <xf numFmtId="0" fontId="48" fillId="6" borderId="1" xfId="28" applyFont="1" applyFill="1" applyBorder="1" applyAlignment="1">
      <alignment horizontal="left" vertical="center" wrapText="1"/>
      <protection/>
    </xf>
    <xf numFmtId="0" fontId="48" fillId="6" borderId="83" xfId="28" applyFont="1" applyFill="1" applyBorder="1" applyAlignment="1">
      <alignment horizontal="left" vertical="center" wrapText="1"/>
      <protection/>
    </xf>
    <xf numFmtId="0" fontId="48" fillId="6" borderId="14" xfId="28" applyFont="1" applyFill="1" applyBorder="1" applyAlignment="1">
      <alignment horizontal="left" vertical="center"/>
      <protection/>
    </xf>
    <xf numFmtId="0" fontId="48" fillId="6" borderId="162" xfId="28" applyFont="1" applyFill="1" applyBorder="1" applyAlignment="1">
      <alignment horizontal="left" vertical="center"/>
      <protection/>
    </xf>
    <xf numFmtId="0" fontId="48" fillId="6" borderId="195" xfId="28" applyFont="1" applyFill="1" applyBorder="1" applyAlignment="1">
      <alignment horizontal="center" vertical="center" wrapText="1"/>
      <protection/>
    </xf>
    <xf numFmtId="0" fontId="48" fillId="6" borderId="1" xfId="28" applyFont="1" applyFill="1" applyBorder="1" applyAlignment="1">
      <alignment horizontal="center" vertical="center" wrapText="1"/>
      <protection/>
    </xf>
    <xf numFmtId="0" fontId="68" fillId="0" borderId="3" xfId="0" applyFont="1" applyBorder="1" applyAlignment="1">
      <alignment vertical="center" wrapText="1"/>
    </xf>
    <xf numFmtId="0" fontId="68" fillId="6" borderId="3" xfId="0" applyFont="1" applyFill="1" applyBorder="1" applyAlignment="1">
      <alignment vertical="center" wrapText="1"/>
    </xf>
    <xf numFmtId="0" fontId="48" fillId="6" borderId="19" xfId="28" applyFont="1" applyFill="1" applyBorder="1" applyAlignment="1">
      <alignment horizontal="center" vertical="center" wrapText="1"/>
      <protection/>
    </xf>
    <xf numFmtId="0" fontId="48" fillId="6" borderId="65" xfId="28" applyFont="1" applyFill="1" applyBorder="1" applyAlignment="1">
      <alignment horizontal="center" vertical="center" wrapText="1"/>
      <protection/>
    </xf>
    <xf numFmtId="0" fontId="48" fillId="6" borderId="130"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2" borderId="196" xfId="0" applyFont="1" applyFill="1" applyBorder="1" applyAlignment="1">
      <alignment horizontal="center" vertical="center" wrapText="1"/>
    </xf>
    <xf numFmtId="0" fontId="48" fillId="2" borderId="84" xfId="0" applyFont="1" applyFill="1" applyBorder="1" applyAlignment="1">
      <alignment horizontal="center" vertical="center" wrapText="1"/>
    </xf>
    <xf numFmtId="0" fontId="48" fillId="2" borderId="30" xfId="0" applyFont="1" applyFill="1" applyBorder="1" applyAlignment="1">
      <alignment horizontal="center" vertical="center" wrapText="1"/>
    </xf>
    <xf numFmtId="0" fontId="48" fillId="2" borderId="237" xfId="0" applyFont="1" applyFill="1" applyBorder="1" applyAlignment="1">
      <alignment horizontal="center" vertical="center" wrapText="1"/>
    </xf>
    <xf numFmtId="0" fontId="48" fillId="2" borderId="238" xfId="0" applyFont="1" applyFill="1" applyBorder="1" applyAlignment="1">
      <alignment horizontal="center" vertical="center" wrapText="1"/>
    </xf>
    <xf numFmtId="0" fontId="48" fillId="0" borderId="117" xfId="28" applyFont="1" applyBorder="1" applyAlignment="1">
      <alignment horizontal="center" vertical="center" wrapText="1"/>
      <protection/>
    </xf>
    <xf numFmtId="0" fontId="48" fillId="0" borderId="118" xfId="28" applyFont="1" applyBorder="1" applyAlignment="1">
      <alignment horizontal="center" vertical="center" wrapText="1"/>
      <protection/>
    </xf>
    <xf numFmtId="0" fontId="68" fillId="0" borderId="190" xfId="0" applyFont="1" applyBorder="1" applyAlignment="1">
      <alignment vertical="center" wrapText="1"/>
    </xf>
    <xf numFmtId="0" fontId="48" fillId="0" borderId="116" xfId="28" applyFont="1" applyBorder="1" applyAlignment="1">
      <alignment horizontal="center" vertical="center" wrapText="1"/>
      <protection/>
    </xf>
    <xf numFmtId="0" fontId="48" fillId="0" borderId="212" xfId="28" applyFont="1" applyBorder="1" applyAlignment="1">
      <alignment horizontal="center" vertical="center" wrapText="1"/>
      <protection/>
    </xf>
    <xf numFmtId="0" fontId="68" fillId="0" borderId="213" xfId="0" applyFont="1" applyBorder="1" applyAlignment="1">
      <alignment vertical="center" wrapText="1"/>
    </xf>
    <xf numFmtId="0" fontId="48" fillId="0" borderId="234" xfId="28" applyFont="1" applyBorder="1" applyAlignment="1">
      <alignment horizontal="center" vertical="center" wrapText="1"/>
      <protection/>
    </xf>
    <xf numFmtId="0" fontId="68" fillId="0" borderId="239" xfId="0" applyFont="1" applyBorder="1" applyAlignment="1">
      <alignment vertical="center" wrapText="1"/>
    </xf>
    <xf numFmtId="0" fontId="68" fillId="0" borderId="240" xfId="0" applyFont="1" applyBorder="1" applyAlignment="1">
      <alignment vertical="center" wrapText="1"/>
    </xf>
    <xf numFmtId="0" fontId="68" fillId="6" borderId="162" xfId="0" applyFont="1" applyFill="1" applyBorder="1" applyAlignment="1">
      <alignment vertical="center" wrapText="1"/>
    </xf>
    <xf numFmtId="0" fontId="48" fillId="6" borderId="14" xfId="28" applyFont="1" applyFill="1" applyBorder="1" applyAlignment="1">
      <alignment horizontal="center" vertical="center" wrapText="1"/>
      <protection/>
    </xf>
    <xf numFmtId="0" fontId="48" fillId="6" borderId="3" xfId="28" applyFont="1" applyFill="1" applyBorder="1" applyAlignment="1">
      <alignment horizontal="center" vertical="center" wrapText="1"/>
      <protection/>
    </xf>
    <xf numFmtId="0" fontId="48" fillId="6" borderId="162" xfId="28" applyFont="1" applyFill="1" applyBorder="1" applyAlignment="1">
      <alignment horizontal="center" vertical="center" wrapText="1"/>
      <protection/>
    </xf>
    <xf numFmtId="0" fontId="48" fillId="6" borderId="19" xfId="28" applyFont="1" applyFill="1" applyBorder="1" applyAlignment="1">
      <alignment horizontal="left" vertical="center" wrapText="1"/>
      <protection/>
    </xf>
    <xf numFmtId="0" fontId="48" fillId="6" borderId="38" xfId="28" applyFont="1" applyFill="1" applyBorder="1" applyAlignment="1">
      <alignment horizontal="left" vertical="center" wrapText="1"/>
      <protection/>
    </xf>
    <xf numFmtId="0" fontId="48" fillId="6" borderId="65" xfId="28" applyFont="1" applyFill="1" applyBorder="1" applyAlignment="1">
      <alignment horizontal="left" vertical="center" wrapText="1"/>
      <protection/>
    </xf>
    <xf numFmtId="0" fontId="48" fillId="6" borderId="161" xfId="0" applyFont="1" applyFill="1" applyBorder="1" applyAlignment="1">
      <alignment horizontal="center" vertical="center" wrapText="1"/>
    </xf>
    <xf numFmtId="0" fontId="48" fillId="6" borderId="41" xfId="0" applyFont="1" applyFill="1" applyBorder="1" applyAlignment="1">
      <alignment horizontal="center" vertical="center" wrapText="1"/>
    </xf>
    <xf numFmtId="0" fontId="48" fillId="6" borderId="48" xfId="0" applyFont="1" applyFill="1" applyBorder="1" applyAlignment="1">
      <alignment horizontal="center" vertical="center" wrapText="1"/>
    </xf>
    <xf numFmtId="0" fontId="48" fillId="6" borderId="3" xfId="28" applyFont="1" applyFill="1" applyBorder="1" applyAlignment="1">
      <alignment horizontal="left" vertical="center" wrapText="1"/>
      <protection/>
    </xf>
    <xf numFmtId="0" fontId="48" fillId="6" borderId="30" xfId="0" applyFont="1" applyFill="1" applyBorder="1" applyAlignment="1">
      <alignment horizontal="center" vertical="center" wrapText="1"/>
    </xf>
    <xf numFmtId="0" fontId="48" fillId="6" borderId="87" xfId="0" applyFont="1" applyFill="1" applyBorder="1" applyAlignment="1">
      <alignment horizontal="center" vertical="center" wrapText="1"/>
    </xf>
    <xf numFmtId="0" fontId="48" fillId="6" borderId="84" xfId="0" applyFont="1" applyFill="1" applyBorder="1" applyAlignment="1">
      <alignment horizontal="center" vertical="center" wrapText="1"/>
    </xf>
    <xf numFmtId="0" fontId="48" fillId="2" borderId="87" xfId="0" applyFont="1" applyFill="1" applyBorder="1" applyAlignment="1">
      <alignment horizontal="center" vertical="center" wrapText="1"/>
    </xf>
    <xf numFmtId="0" fontId="48" fillId="6" borderId="116" xfId="28" applyFont="1" applyFill="1" applyBorder="1" applyAlignment="1">
      <alignment horizontal="center" vertical="center" wrapText="1"/>
      <protection/>
    </xf>
    <xf numFmtId="0" fontId="48" fillId="6" borderId="143" xfId="28" applyFont="1" applyFill="1" applyBorder="1" applyAlignment="1">
      <alignment horizontal="center" vertical="center" wrapText="1"/>
      <protection/>
    </xf>
    <xf numFmtId="0" fontId="48" fillId="6" borderId="212" xfId="28" applyFont="1" applyFill="1" applyBorder="1" applyAlignment="1">
      <alignment horizontal="left" vertical="center" wrapText="1"/>
      <protection/>
    </xf>
    <xf numFmtId="0" fontId="48" fillId="6" borderId="213" xfId="28" applyFont="1" applyFill="1" applyBorder="1" applyAlignment="1">
      <alignment horizontal="left" vertical="center" wrapText="1"/>
      <protection/>
    </xf>
    <xf numFmtId="0" fontId="48" fillId="6" borderId="234" xfId="28" applyFont="1" applyFill="1" applyBorder="1" applyAlignment="1">
      <alignment horizontal="left" vertical="center" wrapText="1"/>
      <protection/>
    </xf>
    <xf numFmtId="0" fontId="48" fillId="6" borderId="239" xfId="28" applyFont="1" applyFill="1" applyBorder="1" applyAlignment="1">
      <alignment horizontal="left" vertical="center" wrapText="1"/>
      <protection/>
    </xf>
    <xf numFmtId="0" fontId="48" fillId="6" borderId="167" xfId="28" applyFont="1" applyFill="1" applyBorder="1" applyAlignment="1">
      <alignment horizontal="left" vertical="center" wrapText="1"/>
      <protection/>
    </xf>
    <xf numFmtId="0" fontId="48" fillId="6" borderId="166" xfId="28" applyFont="1" applyFill="1" applyBorder="1" applyAlignment="1">
      <alignment horizontal="left" vertical="center" wrapText="1"/>
      <protection/>
    </xf>
    <xf numFmtId="0" fontId="48" fillId="6" borderId="190" xfId="28" applyFont="1" applyFill="1" applyBorder="1" applyAlignment="1">
      <alignment horizontal="left" vertical="center" wrapText="1"/>
      <protection/>
    </xf>
    <xf numFmtId="0" fontId="48" fillId="6" borderId="166" xfId="28" applyFont="1" applyFill="1" applyBorder="1" applyAlignment="1">
      <alignment horizontal="left" vertical="center"/>
      <protection/>
    </xf>
    <xf numFmtId="0" fontId="48" fillId="6" borderId="190" xfId="28" applyFont="1" applyFill="1" applyBorder="1" applyAlignment="1">
      <alignment horizontal="left" vertical="center"/>
      <protection/>
    </xf>
    <xf numFmtId="0" fontId="48" fillId="0" borderId="213" xfId="28" applyFont="1" applyBorder="1" applyAlignment="1">
      <alignment horizontal="left" vertical="center" wrapText="1"/>
      <protection/>
    </xf>
    <xf numFmtId="0" fontId="48" fillId="0" borderId="239" xfId="28" applyFont="1" applyBorder="1" applyAlignment="1">
      <alignment horizontal="left" vertical="center" wrapText="1"/>
      <protection/>
    </xf>
    <xf numFmtId="0" fontId="48" fillId="2" borderId="166" xfId="28" applyFont="1" applyFill="1" applyBorder="1" applyAlignment="1">
      <alignment horizontal="left" vertical="center" wrapText="1"/>
      <protection/>
    </xf>
    <xf numFmtId="0" fontId="48" fillId="2" borderId="190" xfId="28" applyFont="1" applyFill="1" applyBorder="1" applyAlignment="1">
      <alignment horizontal="left" vertical="center" wrapText="1"/>
      <protection/>
    </xf>
    <xf numFmtId="0" fontId="0" fillId="0" borderId="190" xfId="0" applyBorder="1" applyAlignment="1">
      <alignment/>
    </xf>
    <xf numFmtId="0" fontId="48" fillId="2" borderId="166" xfId="28" applyFont="1" applyFill="1" applyBorder="1" applyAlignment="1">
      <alignment vertical="center" wrapText="1"/>
      <protection/>
    </xf>
    <xf numFmtId="0" fontId="68" fillId="2" borderId="190" xfId="0" applyFont="1" applyFill="1" applyBorder="1" applyAlignment="1">
      <alignment vertical="center" wrapText="1"/>
    </xf>
    <xf numFmtId="0" fontId="73" fillId="0" borderId="177" xfId="28" applyFont="1" applyBorder="1" applyAlignment="1">
      <alignment horizontal="left" vertical="center" wrapText="1"/>
      <protection/>
    </xf>
    <xf numFmtId="0" fontId="73" fillId="0" borderId="178" xfId="28" applyFont="1" applyBorder="1" applyAlignment="1">
      <alignment horizontal="left" vertical="center" wrapText="1"/>
      <protection/>
    </xf>
    <xf numFmtId="0" fontId="73" fillId="0" borderId="184" xfId="28" applyFont="1" applyBorder="1" applyAlignment="1">
      <alignment vertical="center" wrapText="1"/>
      <protection/>
    </xf>
    <xf numFmtId="0" fontId="73" fillId="0" borderId="241" xfId="28" applyFont="1" applyBorder="1" applyAlignment="1">
      <alignment vertical="center" wrapText="1"/>
      <protection/>
    </xf>
    <xf numFmtId="0" fontId="48" fillId="2" borderId="167" xfId="28" applyFont="1" applyFill="1" applyBorder="1" applyAlignment="1">
      <alignment horizontal="left" vertical="center" wrapText="1"/>
      <protection/>
    </xf>
    <xf numFmtId="0" fontId="48" fillId="2" borderId="190" xfId="28" applyFont="1" applyFill="1" applyBorder="1" applyAlignment="1">
      <alignment vertical="center" wrapText="1"/>
      <protection/>
    </xf>
    <xf numFmtId="0" fontId="53" fillId="2" borderId="166" xfId="28" applyFont="1" applyFill="1" applyBorder="1" applyAlignment="1">
      <alignment horizontal="left" vertical="center" wrapText="1"/>
      <protection/>
    </xf>
    <xf numFmtId="0" fontId="53" fillId="2" borderId="190" xfId="28" applyFont="1" applyFill="1" applyBorder="1" applyAlignment="1">
      <alignment horizontal="left" vertical="center" wrapText="1"/>
      <protection/>
    </xf>
    <xf numFmtId="0" fontId="48" fillId="2" borderId="242" xfId="21" applyFont="1" applyFill="1" applyBorder="1" applyAlignment="1">
      <alignment vertical="center"/>
      <protection/>
    </xf>
    <xf numFmtId="0" fontId="48" fillId="0" borderId="190" xfId="0" applyFont="1" applyBorder="1" applyAlignment="1">
      <alignment/>
    </xf>
    <xf numFmtId="0" fontId="48" fillId="2" borderId="14" xfId="21" applyFont="1" applyFill="1" applyBorder="1" applyAlignment="1">
      <alignment vertical="center" wrapText="1"/>
      <protection/>
    </xf>
    <xf numFmtId="0" fontId="48" fillId="0" borderId="162" xfId="0" applyFont="1" applyBorder="1" applyAlignment="1">
      <alignment/>
    </xf>
    <xf numFmtId="0" fontId="48" fillId="2" borderId="195" xfId="21" applyFont="1" applyFill="1" applyBorder="1" applyAlignment="1">
      <alignment vertical="center"/>
      <protection/>
    </xf>
    <xf numFmtId="0" fontId="48" fillId="0" borderId="160" xfId="0" applyFont="1" applyBorder="1" applyAlignment="1">
      <alignment/>
    </xf>
    <xf numFmtId="0" fontId="48" fillId="2" borderId="14" xfId="21" applyFont="1" applyFill="1" applyBorder="1" applyAlignment="1">
      <alignment horizontal="left" vertical="center" wrapText="1"/>
      <protection/>
    </xf>
    <xf numFmtId="0" fontId="48" fillId="0" borderId="162" xfId="0" applyFont="1" applyBorder="1" applyAlignment="1">
      <alignment horizontal="left"/>
    </xf>
    <xf numFmtId="0" fontId="48" fillId="2" borderId="195" xfId="21" applyFont="1" applyFill="1" applyBorder="1" applyAlignment="1">
      <alignment horizontal="left" vertical="center" wrapText="1"/>
      <protection/>
    </xf>
    <xf numFmtId="0" fontId="48" fillId="0" borderId="160" xfId="0" applyFont="1" applyBorder="1" applyAlignment="1">
      <alignment horizontal="left"/>
    </xf>
    <xf numFmtId="0" fontId="48" fillId="0" borderId="30" xfId="28" applyFont="1" applyBorder="1" applyAlignment="1">
      <alignment horizontal="center" vertical="center" wrapText="1"/>
      <protection/>
    </xf>
    <xf numFmtId="0" fontId="48" fillId="0" borderId="84" xfId="28" applyFont="1" applyBorder="1" applyAlignment="1">
      <alignment horizontal="center" vertical="center" wrapText="1"/>
      <protection/>
    </xf>
    <xf numFmtId="0" fontId="48" fillId="0" borderId="195" xfId="28" applyFont="1" applyBorder="1" applyAlignment="1">
      <alignment horizontal="left" vertical="center" wrapText="1"/>
      <protection/>
    </xf>
    <xf numFmtId="0" fontId="68" fillId="0" borderId="130" xfId="0" applyFont="1" applyBorder="1" applyAlignment="1">
      <alignment vertical="center" wrapText="1"/>
    </xf>
    <xf numFmtId="0" fontId="48" fillId="0" borderId="7" xfId="28" applyFont="1" applyBorder="1" applyAlignment="1">
      <alignment horizontal="left" vertical="center" wrapText="1"/>
      <protection/>
    </xf>
    <xf numFmtId="0" fontId="68" fillId="0" borderId="0" xfId="0" applyFont="1" applyBorder="1" applyAlignment="1">
      <alignment vertical="center" wrapText="1"/>
    </xf>
    <xf numFmtId="0" fontId="48" fillId="2" borderId="14" xfId="21" applyFont="1" applyFill="1" applyBorder="1" applyAlignment="1">
      <alignment vertical="center"/>
      <protection/>
    </xf>
    <xf numFmtId="0" fontId="29" fillId="0" borderId="113" xfId="20" applyBorder="1" applyAlignment="1">
      <alignment horizontal="center" vertical="center"/>
      <protection/>
    </xf>
    <xf numFmtId="0" fontId="29" fillId="0" borderId="111" xfId="20" applyBorder="1" applyAlignment="1">
      <alignment horizontal="center" vertical="center"/>
      <protection/>
    </xf>
    <xf numFmtId="0" fontId="29" fillId="0" borderId="112" xfId="20" applyBorder="1" applyAlignment="1">
      <alignment horizontal="center" vertical="center"/>
      <protection/>
    </xf>
    <xf numFmtId="0" fontId="29" fillId="0" borderId="108" xfId="20" applyBorder="1" applyAlignment="1">
      <alignment horizontal="center" vertical="center"/>
      <protection/>
    </xf>
  </cellXfs>
  <cellStyles count="21">
    <cellStyle name="Normal" xfId="0"/>
    <cellStyle name="Comma" xfId="15"/>
    <cellStyle name="Comma [0]" xfId="16"/>
    <cellStyle name="Hiperhivatkozás" xfId="17"/>
    <cellStyle name="Már látott hiperhivatkozás" xfId="18"/>
    <cellStyle name="Normal_1997os osztalékkorlát" xfId="19"/>
    <cellStyle name="Normál_2006_FEBRUAR" xfId="20"/>
    <cellStyle name="Normál_Folapok akt" xfId="21"/>
    <cellStyle name="Normál_H.I-VII.40b" xfId="22"/>
    <cellStyle name="Normál_III.E-CÉLTARTALÉKOK" xfId="23"/>
    <cellStyle name="Normál_III.F.II- HLK" xfId="24"/>
    <cellStyle name="Normál_Képletek" xfId="25"/>
    <cellStyle name="Normál_Kieg. melléklet" xfId="26"/>
    <cellStyle name="Normál_MUNKALAP" xfId="27"/>
    <cellStyle name="Normál_Reszletezesek" xfId="28"/>
    <cellStyle name="Normál_statab2002" xfId="29"/>
    <cellStyle name="Currency" xfId="30"/>
    <cellStyle name="Currency [0]" xfId="31"/>
    <cellStyle name="Standard_BRPRINT" xfId="32"/>
    <cellStyle name="Percent" xfId="33"/>
    <cellStyle name="Währung" xfId="34"/>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externalLink" Target="externalLinks/externalLink1.xml" /><Relationship Id="rId72"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38</xdr:row>
      <xdr:rowOff>114300</xdr:rowOff>
    </xdr:from>
    <xdr:to>
      <xdr:col>5</xdr:col>
      <xdr:colOff>0</xdr:colOff>
      <xdr:row>41</xdr:row>
      <xdr:rowOff>161925</xdr:rowOff>
    </xdr:to>
    <xdr:sp fLocksText="0">
      <xdr:nvSpPr>
        <xdr:cNvPr id="1" name="Szöveg 1"/>
        <xdr:cNvSpPr txBox="1">
          <a:spLocks noChangeArrowheads="1"/>
        </xdr:cNvSpPr>
      </xdr:nvSpPr>
      <xdr:spPr>
        <a:xfrm>
          <a:off x="7200900" y="9505950"/>
          <a:ext cx="0" cy="533400"/>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83</xdr:row>
      <xdr:rowOff>9525</xdr:rowOff>
    </xdr:from>
    <xdr:to>
      <xdr:col>5</xdr:col>
      <xdr:colOff>0</xdr:colOff>
      <xdr:row>86</xdr:row>
      <xdr:rowOff>28575</xdr:rowOff>
    </xdr:to>
    <xdr:sp fLocksText="0">
      <xdr:nvSpPr>
        <xdr:cNvPr id="2" name="Szöveg 1"/>
        <xdr:cNvSpPr txBox="1">
          <a:spLocks noChangeArrowheads="1"/>
        </xdr:cNvSpPr>
      </xdr:nvSpPr>
      <xdr:spPr>
        <a:xfrm>
          <a:off x="7200900" y="19173825"/>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aCEO of Company
(Representative)
</a:t>
          </a:r>
        </a:p>
      </xdr:txBody>
    </xdr:sp>
    <xdr:clientData fLocksWithSheet="0"/>
  </xdr:twoCellAnchor>
  <xdr:twoCellAnchor>
    <xdr:from>
      <xdr:col>5</xdr:col>
      <xdr:colOff>0</xdr:colOff>
      <xdr:row>126</xdr:row>
      <xdr:rowOff>0</xdr:rowOff>
    </xdr:from>
    <xdr:to>
      <xdr:col>5</xdr:col>
      <xdr:colOff>0</xdr:colOff>
      <xdr:row>129</xdr:row>
      <xdr:rowOff>19050</xdr:rowOff>
    </xdr:to>
    <xdr:sp fLocksText="0">
      <xdr:nvSpPr>
        <xdr:cNvPr id="3" name="Szöveg 1"/>
        <xdr:cNvSpPr txBox="1">
          <a:spLocks noChangeArrowheads="1"/>
        </xdr:cNvSpPr>
      </xdr:nvSpPr>
      <xdr:spPr>
        <a:xfrm>
          <a:off x="7200900" y="289941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168</xdr:row>
      <xdr:rowOff>152400</xdr:rowOff>
    </xdr:from>
    <xdr:to>
      <xdr:col>5</xdr:col>
      <xdr:colOff>0</xdr:colOff>
      <xdr:row>172</xdr:row>
      <xdr:rowOff>9525</xdr:rowOff>
    </xdr:to>
    <xdr:sp fLocksText="0">
      <xdr:nvSpPr>
        <xdr:cNvPr id="4" name="Szöveg 1"/>
        <xdr:cNvSpPr txBox="1">
          <a:spLocks noChangeArrowheads="1"/>
        </xdr:cNvSpPr>
      </xdr:nvSpPr>
      <xdr:spPr>
        <a:xfrm>
          <a:off x="7200900" y="391096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126</xdr:row>
      <xdr:rowOff>9525</xdr:rowOff>
    </xdr:from>
    <xdr:to>
      <xdr:col>5</xdr:col>
      <xdr:colOff>0</xdr:colOff>
      <xdr:row>129</xdr:row>
      <xdr:rowOff>28575</xdr:rowOff>
    </xdr:to>
    <xdr:sp fLocksText="0">
      <xdr:nvSpPr>
        <xdr:cNvPr id="5" name="Szöveg 1"/>
        <xdr:cNvSpPr txBox="1">
          <a:spLocks noChangeArrowheads="1"/>
        </xdr:cNvSpPr>
      </xdr:nvSpPr>
      <xdr:spPr>
        <a:xfrm>
          <a:off x="7200900" y="29003625"/>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aCEO of Company
(Representative)
</a:t>
          </a:r>
        </a:p>
      </xdr:txBody>
    </xdr:sp>
    <xdr:clientData fLocksWithSheet="0"/>
  </xdr:twoCellAnchor>
  <xdr:twoCellAnchor>
    <xdr:from>
      <xdr:col>5</xdr:col>
      <xdr:colOff>0</xdr:colOff>
      <xdr:row>169</xdr:row>
      <xdr:rowOff>0</xdr:rowOff>
    </xdr:from>
    <xdr:to>
      <xdr:col>5</xdr:col>
      <xdr:colOff>0</xdr:colOff>
      <xdr:row>172</xdr:row>
      <xdr:rowOff>19050</xdr:rowOff>
    </xdr:to>
    <xdr:sp fLocksText="0">
      <xdr:nvSpPr>
        <xdr:cNvPr id="6" name="Szöveg 1"/>
        <xdr:cNvSpPr txBox="1">
          <a:spLocks noChangeArrowheads="1"/>
        </xdr:cNvSpPr>
      </xdr:nvSpPr>
      <xdr:spPr>
        <a:xfrm>
          <a:off x="7200900" y="39119175"/>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169</xdr:row>
      <xdr:rowOff>9525</xdr:rowOff>
    </xdr:from>
    <xdr:to>
      <xdr:col>5</xdr:col>
      <xdr:colOff>0</xdr:colOff>
      <xdr:row>172</xdr:row>
      <xdr:rowOff>28575</xdr:rowOff>
    </xdr:to>
    <xdr:sp fLocksText="0">
      <xdr:nvSpPr>
        <xdr:cNvPr id="7" name="Szöveg 1"/>
        <xdr:cNvSpPr txBox="1">
          <a:spLocks noChangeArrowheads="1"/>
        </xdr:cNvSpPr>
      </xdr:nvSpPr>
      <xdr:spPr>
        <a:xfrm>
          <a:off x="7200900" y="391287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aCEO of Company
(Representative)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2</xdr:row>
      <xdr:rowOff>19050</xdr:rowOff>
    </xdr:from>
    <xdr:to>
      <xdr:col>6</xdr:col>
      <xdr:colOff>647700</xdr:colOff>
      <xdr:row>3</xdr:row>
      <xdr:rowOff>133350</xdr:rowOff>
    </xdr:to>
    <xdr:pic>
      <xdr:nvPicPr>
        <xdr:cNvPr id="1" name="CommandButton1"/>
        <xdr:cNvPicPr preferRelativeResize="1">
          <a:picLocks noChangeAspect="1"/>
        </xdr:cNvPicPr>
      </xdr:nvPicPr>
      <xdr:blipFill>
        <a:blip r:embed="rId1"/>
        <a:stretch>
          <a:fillRect/>
        </a:stretch>
      </xdr:blipFill>
      <xdr:spPr>
        <a:xfrm>
          <a:off x="6743700" y="400050"/>
          <a:ext cx="1828800" cy="304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2</xdr:row>
      <xdr:rowOff>38100</xdr:rowOff>
    </xdr:from>
    <xdr:to>
      <xdr:col>6</xdr:col>
      <xdr:colOff>628650</xdr:colOff>
      <xdr:row>3</xdr:row>
      <xdr:rowOff>152400</xdr:rowOff>
    </xdr:to>
    <xdr:pic>
      <xdr:nvPicPr>
        <xdr:cNvPr id="1" name="CommandButton1"/>
        <xdr:cNvPicPr preferRelativeResize="1">
          <a:picLocks noChangeAspect="1"/>
        </xdr:cNvPicPr>
      </xdr:nvPicPr>
      <xdr:blipFill>
        <a:blip r:embed="rId1"/>
        <a:stretch>
          <a:fillRect/>
        </a:stretch>
      </xdr:blipFill>
      <xdr:spPr>
        <a:xfrm>
          <a:off x="6753225" y="419100"/>
          <a:ext cx="1828800" cy="304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2</xdr:row>
      <xdr:rowOff>9525</xdr:rowOff>
    </xdr:from>
    <xdr:to>
      <xdr:col>6</xdr:col>
      <xdr:colOff>514350</xdr:colOff>
      <xdr:row>3</xdr:row>
      <xdr:rowOff>123825</xdr:rowOff>
    </xdr:to>
    <xdr:pic>
      <xdr:nvPicPr>
        <xdr:cNvPr id="1" name="CommandButton1"/>
        <xdr:cNvPicPr preferRelativeResize="1">
          <a:picLocks noChangeAspect="1"/>
        </xdr:cNvPicPr>
      </xdr:nvPicPr>
      <xdr:blipFill>
        <a:blip r:embed="rId1"/>
        <a:stretch>
          <a:fillRect/>
        </a:stretch>
      </xdr:blipFill>
      <xdr:spPr>
        <a:xfrm>
          <a:off x="6572250" y="390525"/>
          <a:ext cx="1838325" cy="304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123825</xdr:rowOff>
    </xdr:from>
    <xdr:to>
      <xdr:col>5</xdr:col>
      <xdr:colOff>800100</xdr:colOff>
      <xdr:row>2</xdr:row>
      <xdr:rowOff>190500</xdr:rowOff>
    </xdr:to>
    <xdr:pic>
      <xdr:nvPicPr>
        <xdr:cNvPr id="1" name="CommandButton1"/>
        <xdr:cNvPicPr preferRelativeResize="1">
          <a:picLocks noChangeAspect="1"/>
        </xdr:cNvPicPr>
      </xdr:nvPicPr>
      <xdr:blipFill>
        <a:blip r:embed="rId1"/>
        <a:stretch>
          <a:fillRect/>
        </a:stretch>
      </xdr:blipFill>
      <xdr:spPr>
        <a:xfrm>
          <a:off x="3171825" y="123825"/>
          <a:ext cx="2876550" cy="44767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57150</xdr:rowOff>
    </xdr:from>
    <xdr:to>
      <xdr:col>2</xdr:col>
      <xdr:colOff>161925</xdr:colOff>
      <xdr:row>3</xdr:row>
      <xdr:rowOff>0</xdr:rowOff>
    </xdr:to>
    <xdr:sp>
      <xdr:nvSpPr>
        <xdr:cNvPr id="1" name="AutoShape 1"/>
        <xdr:cNvSpPr>
          <a:spLocks/>
        </xdr:cNvSpPr>
      </xdr:nvSpPr>
      <xdr:spPr>
        <a:xfrm>
          <a:off x="1419225" y="219075"/>
          <a:ext cx="13335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161925</xdr:colOff>
      <xdr:row>2</xdr:row>
      <xdr:rowOff>28575</xdr:rowOff>
    </xdr:from>
    <xdr:to>
      <xdr:col>6</xdr:col>
      <xdr:colOff>28575</xdr:colOff>
      <xdr:row>19</xdr:row>
      <xdr:rowOff>76200</xdr:rowOff>
    </xdr:to>
    <xdr:sp>
      <xdr:nvSpPr>
        <xdr:cNvPr id="2" name="Line 2"/>
        <xdr:cNvSpPr>
          <a:spLocks/>
        </xdr:cNvSpPr>
      </xdr:nvSpPr>
      <xdr:spPr>
        <a:xfrm>
          <a:off x="1552575" y="352425"/>
          <a:ext cx="2800350" cy="2800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5</xdr:row>
      <xdr:rowOff>85725</xdr:rowOff>
    </xdr:from>
    <xdr:to>
      <xdr:col>6</xdr:col>
      <xdr:colOff>9525</xdr:colOff>
      <xdr:row>20</xdr:row>
      <xdr:rowOff>76200</xdr:rowOff>
    </xdr:to>
    <xdr:sp>
      <xdr:nvSpPr>
        <xdr:cNvPr id="3" name="Line 3"/>
        <xdr:cNvSpPr>
          <a:spLocks/>
        </xdr:cNvSpPr>
      </xdr:nvSpPr>
      <xdr:spPr>
        <a:xfrm>
          <a:off x="1400175" y="895350"/>
          <a:ext cx="2933700" cy="2419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8</xdr:row>
      <xdr:rowOff>95250</xdr:rowOff>
    </xdr:from>
    <xdr:to>
      <xdr:col>6</xdr:col>
      <xdr:colOff>9525</xdr:colOff>
      <xdr:row>21</xdr:row>
      <xdr:rowOff>104775</xdr:rowOff>
    </xdr:to>
    <xdr:sp>
      <xdr:nvSpPr>
        <xdr:cNvPr id="4" name="Line 4"/>
        <xdr:cNvSpPr>
          <a:spLocks/>
        </xdr:cNvSpPr>
      </xdr:nvSpPr>
      <xdr:spPr>
        <a:xfrm>
          <a:off x="1400175" y="1390650"/>
          <a:ext cx="29337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9</xdr:row>
      <xdr:rowOff>85725</xdr:rowOff>
    </xdr:from>
    <xdr:to>
      <xdr:col>5</xdr:col>
      <xdr:colOff>838200</xdr:colOff>
      <xdr:row>22</xdr:row>
      <xdr:rowOff>76200</xdr:rowOff>
    </xdr:to>
    <xdr:sp>
      <xdr:nvSpPr>
        <xdr:cNvPr id="5" name="Line 5"/>
        <xdr:cNvSpPr>
          <a:spLocks/>
        </xdr:cNvSpPr>
      </xdr:nvSpPr>
      <xdr:spPr>
        <a:xfrm>
          <a:off x="1400175" y="1543050"/>
          <a:ext cx="291465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11</xdr:row>
      <xdr:rowOff>104775</xdr:rowOff>
    </xdr:from>
    <xdr:to>
      <xdr:col>2</xdr:col>
      <xdr:colOff>295275</xdr:colOff>
      <xdr:row>13</xdr:row>
      <xdr:rowOff>104775</xdr:rowOff>
    </xdr:to>
    <xdr:sp>
      <xdr:nvSpPr>
        <xdr:cNvPr id="6" name="AutoShape 6"/>
        <xdr:cNvSpPr>
          <a:spLocks/>
        </xdr:cNvSpPr>
      </xdr:nvSpPr>
      <xdr:spPr>
        <a:xfrm>
          <a:off x="1400175" y="1885950"/>
          <a:ext cx="285750"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247650</xdr:colOff>
      <xdr:row>12</xdr:row>
      <xdr:rowOff>114300</xdr:rowOff>
    </xdr:from>
    <xdr:to>
      <xdr:col>6</xdr:col>
      <xdr:colOff>9525</xdr:colOff>
      <xdr:row>23</xdr:row>
      <xdr:rowOff>66675</xdr:rowOff>
    </xdr:to>
    <xdr:sp>
      <xdr:nvSpPr>
        <xdr:cNvPr id="7" name="Line 7"/>
        <xdr:cNvSpPr>
          <a:spLocks/>
        </xdr:cNvSpPr>
      </xdr:nvSpPr>
      <xdr:spPr>
        <a:xfrm>
          <a:off x="1638300" y="2057400"/>
          <a:ext cx="2695575" cy="1733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685800</xdr:colOff>
      <xdr:row>14</xdr:row>
      <xdr:rowOff>76200</xdr:rowOff>
    </xdr:from>
    <xdr:to>
      <xdr:col>5</xdr:col>
      <xdr:colOff>838200</xdr:colOff>
      <xdr:row>24</xdr:row>
      <xdr:rowOff>95250</xdr:rowOff>
    </xdr:to>
    <xdr:sp>
      <xdr:nvSpPr>
        <xdr:cNvPr id="8" name="Line 8"/>
        <xdr:cNvSpPr>
          <a:spLocks/>
        </xdr:cNvSpPr>
      </xdr:nvSpPr>
      <xdr:spPr>
        <a:xfrm>
          <a:off x="1381125" y="2343150"/>
          <a:ext cx="2933700"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18</xdr:row>
      <xdr:rowOff>57150</xdr:rowOff>
    </xdr:from>
    <xdr:to>
      <xdr:col>6</xdr:col>
      <xdr:colOff>9525</xdr:colOff>
      <xdr:row>25</xdr:row>
      <xdr:rowOff>66675</xdr:rowOff>
    </xdr:to>
    <xdr:sp>
      <xdr:nvSpPr>
        <xdr:cNvPr id="9" name="Line 9"/>
        <xdr:cNvSpPr>
          <a:spLocks/>
        </xdr:cNvSpPr>
      </xdr:nvSpPr>
      <xdr:spPr>
        <a:xfrm>
          <a:off x="1400175" y="2971800"/>
          <a:ext cx="293370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685800</xdr:colOff>
      <xdr:row>14</xdr:row>
      <xdr:rowOff>114300</xdr:rowOff>
    </xdr:from>
    <xdr:to>
      <xdr:col>6</xdr:col>
      <xdr:colOff>9525</xdr:colOff>
      <xdr:row>26</xdr:row>
      <xdr:rowOff>133350</xdr:rowOff>
    </xdr:to>
    <xdr:sp>
      <xdr:nvSpPr>
        <xdr:cNvPr id="10" name="Line 10"/>
        <xdr:cNvSpPr>
          <a:spLocks/>
        </xdr:cNvSpPr>
      </xdr:nvSpPr>
      <xdr:spPr>
        <a:xfrm>
          <a:off x="1381125" y="2381250"/>
          <a:ext cx="2952750" cy="1962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28575</xdr:colOff>
      <xdr:row>27</xdr:row>
      <xdr:rowOff>85725</xdr:rowOff>
    </xdr:from>
    <xdr:to>
      <xdr:col>6</xdr:col>
      <xdr:colOff>9525</xdr:colOff>
      <xdr:row>27</xdr:row>
      <xdr:rowOff>85725</xdr:rowOff>
    </xdr:to>
    <xdr:sp>
      <xdr:nvSpPr>
        <xdr:cNvPr id="11" name="Line 11"/>
        <xdr:cNvSpPr>
          <a:spLocks/>
        </xdr:cNvSpPr>
      </xdr:nvSpPr>
      <xdr:spPr>
        <a:xfrm>
          <a:off x="2114550" y="4457700"/>
          <a:ext cx="2219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666750</xdr:colOff>
      <xdr:row>16</xdr:row>
      <xdr:rowOff>95250</xdr:rowOff>
    </xdr:from>
    <xdr:to>
      <xdr:col>6</xdr:col>
      <xdr:colOff>9525</xdr:colOff>
      <xdr:row>28</xdr:row>
      <xdr:rowOff>133350</xdr:rowOff>
    </xdr:to>
    <xdr:sp>
      <xdr:nvSpPr>
        <xdr:cNvPr id="12" name="Line 12"/>
        <xdr:cNvSpPr>
          <a:spLocks/>
        </xdr:cNvSpPr>
      </xdr:nvSpPr>
      <xdr:spPr>
        <a:xfrm>
          <a:off x="1362075" y="2686050"/>
          <a:ext cx="297180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209550</xdr:colOff>
      <xdr:row>41</xdr:row>
      <xdr:rowOff>57150</xdr:rowOff>
    </xdr:from>
    <xdr:to>
      <xdr:col>9</xdr:col>
      <xdr:colOff>1933575</xdr:colOff>
      <xdr:row>79</xdr:row>
      <xdr:rowOff>114300</xdr:rowOff>
    </xdr:to>
    <xdr:sp>
      <xdr:nvSpPr>
        <xdr:cNvPr id="13" name="AutoShape 13"/>
        <xdr:cNvSpPr>
          <a:spLocks/>
        </xdr:cNvSpPr>
      </xdr:nvSpPr>
      <xdr:spPr>
        <a:xfrm>
          <a:off x="209550" y="6734175"/>
          <a:ext cx="8763000" cy="62103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685800</xdr:colOff>
      <xdr:row>76</xdr:row>
      <xdr:rowOff>0</xdr:rowOff>
    </xdr:from>
    <xdr:to>
      <xdr:col>9</xdr:col>
      <xdr:colOff>1495425</xdr:colOff>
      <xdr:row>76</xdr:row>
      <xdr:rowOff>0</xdr:rowOff>
    </xdr:to>
    <xdr:sp>
      <xdr:nvSpPr>
        <xdr:cNvPr id="14" name="Line 14"/>
        <xdr:cNvSpPr>
          <a:spLocks/>
        </xdr:cNvSpPr>
      </xdr:nvSpPr>
      <xdr:spPr>
        <a:xfrm>
          <a:off x="685800" y="12344400"/>
          <a:ext cx="784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oneCellAnchor>
    <xdr:from>
      <xdr:col>4</xdr:col>
      <xdr:colOff>247650</xdr:colOff>
      <xdr:row>75</xdr:row>
      <xdr:rowOff>142875</xdr:rowOff>
    </xdr:from>
    <xdr:ext cx="2409825" cy="295275"/>
    <xdr:sp>
      <xdr:nvSpPr>
        <xdr:cNvPr id="15" name="TextBox 17"/>
        <xdr:cNvSpPr txBox="1">
          <a:spLocks noChangeArrowheads="1"/>
        </xdr:cNvSpPr>
      </xdr:nvSpPr>
      <xdr:spPr>
        <a:xfrm>
          <a:off x="3028950" y="12325350"/>
          <a:ext cx="2409825" cy="29527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Gazdasági események</a:t>
          </a:r>
        </a:p>
      </xdr:txBody>
    </xdr:sp>
    <xdr:clientData/>
  </xdr:oneCellAnchor>
  <xdr:oneCellAnchor>
    <xdr:from>
      <xdr:col>4</xdr:col>
      <xdr:colOff>514350</xdr:colOff>
      <xdr:row>72</xdr:row>
      <xdr:rowOff>133350</xdr:rowOff>
    </xdr:from>
    <xdr:ext cx="1962150" cy="295275"/>
    <xdr:sp>
      <xdr:nvSpPr>
        <xdr:cNvPr id="16" name="TextBox 18"/>
        <xdr:cNvSpPr txBox="1">
          <a:spLocks noChangeArrowheads="1"/>
        </xdr:cNvSpPr>
      </xdr:nvSpPr>
      <xdr:spPr>
        <a:xfrm>
          <a:off x="3295650" y="11830050"/>
          <a:ext cx="1962150" cy="29527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Főkönyvi kartonok</a:t>
          </a:r>
        </a:p>
      </xdr:txBody>
    </xdr:sp>
    <xdr:clientData/>
  </xdr:oneCellAnchor>
  <xdr:oneCellAnchor>
    <xdr:from>
      <xdr:col>3</xdr:col>
      <xdr:colOff>685800</xdr:colOff>
      <xdr:row>51</xdr:row>
      <xdr:rowOff>9525</xdr:rowOff>
    </xdr:from>
    <xdr:ext cx="3733800" cy="1685925"/>
    <xdr:sp>
      <xdr:nvSpPr>
        <xdr:cNvPr id="17" name="TextBox 19"/>
        <xdr:cNvSpPr txBox="1">
          <a:spLocks noChangeArrowheads="1"/>
        </xdr:cNvSpPr>
      </xdr:nvSpPr>
      <xdr:spPr>
        <a:xfrm>
          <a:off x="2771775" y="8305800"/>
          <a:ext cx="3733800" cy="168592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Mérleg 
</a:t>
          </a:r>
          <a:r>
            <a:rPr lang="en-US" cap="none" sz="1100" b="0" i="0" u="none" baseline="0">
              <a:latin typeface="Arial CE"/>
              <a:ea typeface="Arial CE"/>
              <a:cs typeface="Arial CE"/>
            </a:rPr>
            <a:t>Mérleg "A", EgyszÉvesMérleg"A"</a:t>
          </a:r>
          <a:r>
            <a:rPr lang="en-US" cap="none" sz="1600" b="0" i="0" u="none" baseline="0">
              <a:latin typeface="Arial CE"/>
              <a:ea typeface="Arial CE"/>
              <a:cs typeface="Arial CE"/>
            </a:rPr>
            <a:t>
Eredménykimutatás
</a:t>
          </a:r>
          <a:r>
            <a:rPr lang="en-US" cap="none" sz="1100" b="0" i="0" u="none" baseline="0">
              <a:latin typeface="Arial CE"/>
              <a:ea typeface="Arial CE"/>
              <a:cs typeface="Arial CE"/>
            </a:rPr>
            <a:t>EredmÖsszktsg"A"; EgyszÉvesEredmÖsszktsg"A"
EredmForgktsg"A"; EgyszÉvesEredmForgktsg"A"</a:t>
          </a:r>
          <a:r>
            <a:rPr lang="en-US" cap="none" sz="1600" b="0" i="0" u="none" baseline="0">
              <a:latin typeface="Arial CE"/>
              <a:ea typeface="Arial CE"/>
              <a:cs typeface="Arial CE"/>
            </a:rPr>
            <a:t>
Kiegészítő melléklet
</a:t>
          </a:r>
          <a:r>
            <a:rPr lang="en-US" cap="none" sz="1100" b="0" i="0" u="none" baseline="0">
              <a:latin typeface="Arial CE"/>
              <a:ea typeface="Arial CE"/>
              <a:cs typeface="Arial CE"/>
            </a:rPr>
            <a:t>I.A.1- III.H.VI</a:t>
          </a:r>
        </a:p>
      </xdr:txBody>
    </xdr:sp>
    <xdr:clientData/>
  </xdr:oneCellAnchor>
  <xdr:twoCellAnchor>
    <xdr:from>
      <xdr:col>3</xdr:col>
      <xdr:colOff>123825</xdr:colOff>
      <xdr:row>62</xdr:row>
      <xdr:rowOff>19050</xdr:rowOff>
    </xdr:from>
    <xdr:to>
      <xdr:col>8</xdr:col>
      <xdr:colOff>552450</xdr:colOff>
      <xdr:row>62</xdr:row>
      <xdr:rowOff>19050</xdr:rowOff>
    </xdr:to>
    <xdr:sp>
      <xdr:nvSpPr>
        <xdr:cNvPr id="18" name="Line 20"/>
        <xdr:cNvSpPr>
          <a:spLocks/>
        </xdr:cNvSpPr>
      </xdr:nvSpPr>
      <xdr:spPr>
        <a:xfrm flipV="1">
          <a:off x="2209800" y="10096500"/>
          <a:ext cx="468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oneCellAnchor>
    <xdr:from>
      <xdr:col>3</xdr:col>
      <xdr:colOff>419100</xdr:colOff>
      <xdr:row>62</xdr:row>
      <xdr:rowOff>104775</xdr:rowOff>
    </xdr:from>
    <xdr:ext cx="4238625" cy="752475"/>
    <xdr:sp>
      <xdr:nvSpPr>
        <xdr:cNvPr id="19" name="TextBox 21"/>
        <xdr:cNvSpPr txBox="1">
          <a:spLocks noChangeArrowheads="1"/>
        </xdr:cNvSpPr>
      </xdr:nvSpPr>
      <xdr:spPr>
        <a:xfrm>
          <a:off x="2505075" y="10182225"/>
          <a:ext cx="4238625" cy="75247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Pénzügyi leltár,
</a:t>
          </a:r>
          <a:r>
            <a:rPr lang="en-US" cap="none" sz="1100" b="0" i="0" u="none" baseline="0">
              <a:latin typeface="Arial CE"/>
              <a:ea typeface="Arial CE"/>
              <a:cs typeface="Arial CE"/>
            </a:rPr>
            <a:t>(L.A.I-  L.H.X-XI.)</a:t>
          </a:r>
          <a:r>
            <a:rPr lang="en-US" cap="none" sz="1400" b="0" i="0" u="none" baseline="0">
              <a:latin typeface="Arial CE"/>
              <a:ea typeface="Arial CE"/>
              <a:cs typeface="Arial CE"/>
            </a:rPr>
            <a:t>
 főkönyvi kivonat a mérlegbesorolások szerint</a:t>
          </a:r>
        </a:p>
      </xdr:txBody>
    </xdr:sp>
    <xdr:clientData/>
  </xdr:oneCellAnchor>
  <xdr:twoCellAnchor>
    <xdr:from>
      <xdr:col>2</xdr:col>
      <xdr:colOff>57150</xdr:colOff>
      <xdr:row>68</xdr:row>
      <xdr:rowOff>85725</xdr:rowOff>
    </xdr:from>
    <xdr:to>
      <xdr:col>9</xdr:col>
      <xdr:colOff>619125</xdr:colOff>
      <xdr:row>68</xdr:row>
      <xdr:rowOff>85725</xdr:rowOff>
    </xdr:to>
    <xdr:sp>
      <xdr:nvSpPr>
        <xdr:cNvPr id="20" name="Line 22"/>
        <xdr:cNvSpPr>
          <a:spLocks/>
        </xdr:cNvSpPr>
      </xdr:nvSpPr>
      <xdr:spPr>
        <a:xfrm>
          <a:off x="1447800" y="11134725"/>
          <a:ext cx="621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381000</xdr:colOff>
      <xdr:row>72</xdr:row>
      <xdr:rowOff>66675</xdr:rowOff>
    </xdr:from>
    <xdr:to>
      <xdr:col>9</xdr:col>
      <xdr:colOff>1123950</xdr:colOff>
      <xdr:row>72</xdr:row>
      <xdr:rowOff>66675</xdr:rowOff>
    </xdr:to>
    <xdr:sp>
      <xdr:nvSpPr>
        <xdr:cNvPr id="21" name="Line 23"/>
        <xdr:cNvSpPr>
          <a:spLocks/>
        </xdr:cNvSpPr>
      </xdr:nvSpPr>
      <xdr:spPr>
        <a:xfrm>
          <a:off x="1076325" y="11763375"/>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oneCellAnchor>
    <xdr:from>
      <xdr:col>4</xdr:col>
      <xdr:colOff>666750</xdr:colOff>
      <xdr:row>69</xdr:row>
      <xdr:rowOff>57150</xdr:rowOff>
    </xdr:from>
    <xdr:ext cx="1819275" cy="295275"/>
    <xdr:sp>
      <xdr:nvSpPr>
        <xdr:cNvPr id="22" name="TextBox 24"/>
        <xdr:cNvSpPr txBox="1">
          <a:spLocks noChangeArrowheads="1"/>
        </xdr:cNvSpPr>
      </xdr:nvSpPr>
      <xdr:spPr>
        <a:xfrm>
          <a:off x="3448050" y="11268075"/>
          <a:ext cx="1819275" cy="295275"/>
        </a:xfrm>
        <a:prstGeom prst="rect">
          <a:avLst/>
        </a:prstGeom>
        <a:noFill/>
        <a:ln w="9525" cmpd="sng">
          <a:noFill/>
        </a:ln>
      </xdr:spPr>
      <xdr:txBody>
        <a:bodyPr vertOverflow="clip" wrap="square">
          <a:spAutoFit/>
        </a:bodyPr>
        <a:p>
          <a:pPr algn="l">
            <a:defRPr/>
          </a:pPr>
          <a:r>
            <a:rPr lang="en-US" cap="none" sz="1600" b="0" i="0" u="none" baseline="0">
              <a:latin typeface="Arial CE"/>
              <a:ea typeface="Arial CE"/>
              <a:cs typeface="Arial CE"/>
            </a:rPr>
            <a:t>Főkönyvi kivonat</a:t>
          </a:r>
        </a:p>
      </xdr:txBody>
    </xdr:sp>
    <xdr:clientData/>
  </xdr:oneCellAnchor>
  <xdr:twoCellAnchor>
    <xdr:from>
      <xdr:col>2</xdr:col>
      <xdr:colOff>685800</xdr:colOff>
      <xdr:row>74</xdr:row>
      <xdr:rowOff>133350</xdr:rowOff>
    </xdr:from>
    <xdr:to>
      <xdr:col>2</xdr:col>
      <xdr:colOff>685800</xdr:colOff>
      <xdr:row>77</xdr:row>
      <xdr:rowOff>47625</xdr:rowOff>
    </xdr:to>
    <xdr:sp>
      <xdr:nvSpPr>
        <xdr:cNvPr id="23" name="Line 25"/>
        <xdr:cNvSpPr>
          <a:spLocks/>
        </xdr:cNvSpPr>
      </xdr:nvSpPr>
      <xdr:spPr>
        <a:xfrm flipV="1">
          <a:off x="2076450" y="121539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571500</xdr:colOff>
      <xdr:row>70</xdr:row>
      <xdr:rowOff>152400</xdr:rowOff>
    </xdr:from>
    <xdr:to>
      <xdr:col>3</xdr:col>
      <xdr:colOff>571500</xdr:colOff>
      <xdr:row>73</xdr:row>
      <xdr:rowOff>66675</xdr:rowOff>
    </xdr:to>
    <xdr:sp>
      <xdr:nvSpPr>
        <xdr:cNvPr id="24" name="Line 26"/>
        <xdr:cNvSpPr>
          <a:spLocks/>
        </xdr:cNvSpPr>
      </xdr:nvSpPr>
      <xdr:spPr>
        <a:xfrm flipV="1">
          <a:off x="2657475" y="115252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9</xdr:col>
      <xdr:colOff>180975</xdr:colOff>
      <xdr:row>74</xdr:row>
      <xdr:rowOff>76200</xdr:rowOff>
    </xdr:from>
    <xdr:to>
      <xdr:col>9</xdr:col>
      <xdr:colOff>180975</xdr:colOff>
      <xdr:row>76</xdr:row>
      <xdr:rowOff>152400</xdr:rowOff>
    </xdr:to>
    <xdr:sp>
      <xdr:nvSpPr>
        <xdr:cNvPr id="25" name="Line 27"/>
        <xdr:cNvSpPr>
          <a:spLocks/>
        </xdr:cNvSpPr>
      </xdr:nvSpPr>
      <xdr:spPr>
        <a:xfrm flipV="1">
          <a:off x="7219950" y="120967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228600</xdr:colOff>
      <xdr:row>70</xdr:row>
      <xdr:rowOff>114300</xdr:rowOff>
    </xdr:from>
    <xdr:to>
      <xdr:col>8</xdr:col>
      <xdr:colOff>228600</xdr:colOff>
      <xdr:row>73</xdr:row>
      <xdr:rowOff>28575</xdr:rowOff>
    </xdr:to>
    <xdr:sp>
      <xdr:nvSpPr>
        <xdr:cNvPr id="26" name="Line 28"/>
        <xdr:cNvSpPr>
          <a:spLocks/>
        </xdr:cNvSpPr>
      </xdr:nvSpPr>
      <xdr:spPr>
        <a:xfrm flipV="1">
          <a:off x="6572250" y="114871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295275</xdr:colOff>
      <xdr:row>67</xdr:row>
      <xdr:rowOff>9525</xdr:rowOff>
    </xdr:from>
    <xdr:to>
      <xdr:col>4</xdr:col>
      <xdr:colOff>295275</xdr:colOff>
      <xdr:row>69</xdr:row>
      <xdr:rowOff>85725</xdr:rowOff>
    </xdr:to>
    <xdr:sp>
      <xdr:nvSpPr>
        <xdr:cNvPr id="27" name="Line 30"/>
        <xdr:cNvSpPr>
          <a:spLocks/>
        </xdr:cNvSpPr>
      </xdr:nvSpPr>
      <xdr:spPr>
        <a:xfrm flipV="1">
          <a:off x="3076575" y="108966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400050</xdr:colOff>
      <xdr:row>67</xdr:row>
      <xdr:rowOff>9525</xdr:rowOff>
    </xdr:from>
    <xdr:to>
      <xdr:col>7</xdr:col>
      <xdr:colOff>400050</xdr:colOff>
      <xdr:row>69</xdr:row>
      <xdr:rowOff>85725</xdr:rowOff>
    </xdr:to>
    <xdr:sp>
      <xdr:nvSpPr>
        <xdr:cNvPr id="28" name="Line 31"/>
        <xdr:cNvSpPr>
          <a:spLocks/>
        </xdr:cNvSpPr>
      </xdr:nvSpPr>
      <xdr:spPr>
        <a:xfrm flipV="1">
          <a:off x="6048375" y="108966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419100</xdr:colOff>
      <xdr:row>60</xdr:row>
      <xdr:rowOff>95250</xdr:rowOff>
    </xdr:from>
    <xdr:to>
      <xdr:col>4</xdr:col>
      <xdr:colOff>419100</xdr:colOff>
      <xdr:row>63</xdr:row>
      <xdr:rowOff>9525</xdr:rowOff>
    </xdr:to>
    <xdr:sp>
      <xdr:nvSpPr>
        <xdr:cNvPr id="29" name="Line 32"/>
        <xdr:cNvSpPr>
          <a:spLocks/>
        </xdr:cNvSpPr>
      </xdr:nvSpPr>
      <xdr:spPr>
        <a:xfrm flipV="1">
          <a:off x="3200400" y="98488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400050</xdr:colOff>
      <xdr:row>60</xdr:row>
      <xdr:rowOff>114300</xdr:rowOff>
    </xdr:from>
    <xdr:to>
      <xdr:col>7</xdr:col>
      <xdr:colOff>400050</xdr:colOff>
      <xdr:row>63</xdr:row>
      <xdr:rowOff>28575</xdr:rowOff>
    </xdr:to>
    <xdr:sp>
      <xdr:nvSpPr>
        <xdr:cNvPr id="30" name="Line 33"/>
        <xdr:cNvSpPr>
          <a:spLocks/>
        </xdr:cNvSpPr>
      </xdr:nvSpPr>
      <xdr:spPr>
        <a:xfrm flipV="1">
          <a:off x="6048375" y="98679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152400</xdr:rowOff>
    </xdr:from>
    <xdr:to>
      <xdr:col>6</xdr:col>
      <xdr:colOff>0</xdr:colOff>
      <xdr:row>41</xdr:row>
      <xdr:rowOff>0</xdr:rowOff>
    </xdr:to>
    <xdr:sp fLocksText="0">
      <xdr:nvSpPr>
        <xdr:cNvPr id="1" name="Szöveg 1"/>
        <xdr:cNvSpPr txBox="1">
          <a:spLocks noChangeArrowheads="1"/>
        </xdr:cNvSpPr>
      </xdr:nvSpPr>
      <xdr:spPr>
        <a:xfrm>
          <a:off x="7391400" y="9363075"/>
          <a:ext cx="0" cy="33337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6</xdr:col>
      <xdr:colOff>0</xdr:colOff>
      <xdr:row>84</xdr:row>
      <xdr:rowOff>19050</xdr:rowOff>
    </xdr:from>
    <xdr:to>
      <xdr:col>6</xdr:col>
      <xdr:colOff>0</xdr:colOff>
      <xdr:row>86</xdr:row>
      <xdr:rowOff>38100</xdr:rowOff>
    </xdr:to>
    <xdr:sp fLocksText="0">
      <xdr:nvSpPr>
        <xdr:cNvPr id="2" name="Szöveg 1"/>
        <xdr:cNvSpPr txBox="1">
          <a:spLocks noChangeArrowheads="1"/>
        </xdr:cNvSpPr>
      </xdr:nvSpPr>
      <xdr:spPr>
        <a:xfrm>
          <a:off x="7391400" y="19211925"/>
          <a:ext cx="0" cy="342900"/>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142875</xdr:rowOff>
    </xdr:from>
    <xdr:to>
      <xdr:col>6</xdr:col>
      <xdr:colOff>0</xdr:colOff>
      <xdr:row>40</xdr:row>
      <xdr:rowOff>0</xdr:rowOff>
    </xdr:to>
    <xdr:sp fLocksText="0">
      <xdr:nvSpPr>
        <xdr:cNvPr id="1" name="Szöveg 1"/>
        <xdr:cNvSpPr txBox="1">
          <a:spLocks noChangeArrowheads="1"/>
        </xdr:cNvSpPr>
      </xdr:nvSpPr>
      <xdr:spPr>
        <a:xfrm>
          <a:off x="7439025" y="84582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 vállalkozás vezetője
(képviselője)
</a:t>
          </a:r>
        </a:p>
      </xdr:txBody>
    </xdr:sp>
    <xdr:clientData fLocksWithSheet="0"/>
  </xdr:twoCellAnchor>
  <xdr:twoCellAnchor>
    <xdr:from>
      <xdr:col>6</xdr:col>
      <xdr:colOff>0</xdr:colOff>
      <xdr:row>87</xdr:row>
      <xdr:rowOff>57150</xdr:rowOff>
    </xdr:from>
    <xdr:to>
      <xdr:col>6</xdr:col>
      <xdr:colOff>0</xdr:colOff>
      <xdr:row>90</xdr:row>
      <xdr:rowOff>0</xdr:rowOff>
    </xdr:to>
    <xdr:sp fLocksText="0">
      <xdr:nvSpPr>
        <xdr:cNvPr id="2" name="Szöveg 1"/>
        <xdr:cNvSpPr txBox="1">
          <a:spLocks noChangeArrowheads="1"/>
        </xdr:cNvSpPr>
      </xdr:nvSpPr>
      <xdr:spPr>
        <a:xfrm>
          <a:off x="7439025" y="19192875"/>
          <a:ext cx="0" cy="4286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 vállalkozás vezetője
(képviselője)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33</xdr:row>
      <xdr:rowOff>66675</xdr:rowOff>
    </xdr:from>
    <xdr:to>
      <xdr:col>5</xdr:col>
      <xdr:colOff>0</xdr:colOff>
      <xdr:row>35</xdr:row>
      <xdr:rowOff>38100</xdr:rowOff>
    </xdr:to>
    <xdr:sp fLocksText="0">
      <xdr:nvSpPr>
        <xdr:cNvPr id="1" name="Szöveg 1"/>
        <xdr:cNvSpPr txBox="1">
          <a:spLocks noChangeArrowheads="1"/>
        </xdr:cNvSpPr>
      </xdr:nvSpPr>
      <xdr:spPr>
        <a:xfrm>
          <a:off x="6962775" y="81724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73</xdr:row>
      <xdr:rowOff>114300</xdr:rowOff>
    </xdr:from>
    <xdr:to>
      <xdr:col>5</xdr:col>
      <xdr:colOff>0</xdr:colOff>
      <xdr:row>76</xdr:row>
      <xdr:rowOff>133350</xdr:rowOff>
    </xdr:to>
    <xdr:sp fLocksText="0">
      <xdr:nvSpPr>
        <xdr:cNvPr id="2" name="Szöveg 1"/>
        <xdr:cNvSpPr txBox="1">
          <a:spLocks noChangeArrowheads="1"/>
        </xdr:cNvSpPr>
      </xdr:nvSpPr>
      <xdr:spPr>
        <a:xfrm>
          <a:off x="6962775" y="176784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28575</xdr:rowOff>
    </xdr:from>
    <xdr:to>
      <xdr:col>6</xdr:col>
      <xdr:colOff>0</xdr:colOff>
      <xdr:row>39</xdr:row>
      <xdr:rowOff>47625</xdr:rowOff>
    </xdr:to>
    <xdr:sp fLocksText="0">
      <xdr:nvSpPr>
        <xdr:cNvPr id="1" name="Szöveg 2"/>
        <xdr:cNvSpPr txBox="1">
          <a:spLocks noChangeArrowheads="1"/>
        </xdr:cNvSpPr>
      </xdr:nvSpPr>
      <xdr:spPr>
        <a:xfrm>
          <a:off x="7277100" y="88201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57150</xdr:rowOff>
    </xdr:from>
    <xdr:to>
      <xdr:col>6</xdr:col>
      <xdr:colOff>0</xdr:colOff>
      <xdr:row>39</xdr:row>
      <xdr:rowOff>76200</xdr:rowOff>
    </xdr:to>
    <xdr:sp fLocksText="0">
      <xdr:nvSpPr>
        <xdr:cNvPr id="1" name="Szöveg 2"/>
        <xdr:cNvSpPr txBox="1">
          <a:spLocks noChangeArrowheads="1"/>
        </xdr:cNvSpPr>
      </xdr:nvSpPr>
      <xdr:spPr>
        <a:xfrm>
          <a:off x="7400925" y="87058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 vállalkozás vezetője
(képviselője)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2</xdr:row>
      <xdr:rowOff>57150</xdr:rowOff>
    </xdr:from>
    <xdr:to>
      <xdr:col>7</xdr:col>
      <xdr:colOff>19050</xdr:colOff>
      <xdr:row>3</xdr:row>
      <xdr:rowOff>171450</xdr:rowOff>
    </xdr:to>
    <xdr:pic>
      <xdr:nvPicPr>
        <xdr:cNvPr id="1" name="CommandButton1"/>
        <xdr:cNvPicPr preferRelativeResize="1">
          <a:picLocks noChangeAspect="1"/>
        </xdr:cNvPicPr>
      </xdr:nvPicPr>
      <xdr:blipFill>
        <a:blip r:embed="rId1"/>
        <a:stretch>
          <a:fillRect/>
        </a:stretch>
      </xdr:blipFill>
      <xdr:spPr>
        <a:xfrm>
          <a:off x="6867525" y="438150"/>
          <a:ext cx="182880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0</xdr:row>
      <xdr:rowOff>142875</xdr:rowOff>
    </xdr:from>
    <xdr:to>
      <xdr:col>6</xdr:col>
      <xdr:colOff>542925</xdr:colOff>
      <xdr:row>2</xdr:row>
      <xdr:rowOff>66675</xdr:rowOff>
    </xdr:to>
    <xdr:pic>
      <xdr:nvPicPr>
        <xdr:cNvPr id="1" name="CommandButton1"/>
        <xdr:cNvPicPr preferRelativeResize="1">
          <a:picLocks noChangeAspect="1"/>
        </xdr:cNvPicPr>
      </xdr:nvPicPr>
      <xdr:blipFill>
        <a:blip r:embed="rId1"/>
        <a:stretch>
          <a:fillRect/>
        </a:stretch>
      </xdr:blipFill>
      <xdr:spPr>
        <a:xfrm>
          <a:off x="6534150" y="142875"/>
          <a:ext cx="1838325"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142875</xdr:rowOff>
    </xdr:from>
    <xdr:to>
      <xdr:col>6</xdr:col>
      <xdr:colOff>628650</xdr:colOff>
      <xdr:row>4</xdr:row>
      <xdr:rowOff>66675</xdr:rowOff>
    </xdr:to>
    <xdr:pic>
      <xdr:nvPicPr>
        <xdr:cNvPr id="1" name="CommandButton2"/>
        <xdr:cNvPicPr preferRelativeResize="1">
          <a:picLocks noChangeAspect="1"/>
        </xdr:cNvPicPr>
      </xdr:nvPicPr>
      <xdr:blipFill>
        <a:blip r:embed="rId1"/>
        <a:stretch>
          <a:fillRect/>
        </a:stretch>
      </xdr:blipFill>
      <xdr:spPr>
        <a:xfrm>
          <a:off x="7296150" y="523875"/>
          <a:ext cx="1838325"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BUSINESS\KVIZSG\2005%20MSW%20STANDARD\Anyagok\Glob&#225;lisV&#225;ltoz&#243;k_V1.31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lobális változók felép"/>
      <sheetName val="Konstans"/>
      <sheetName val="EXPORT"/>
      <sheetName val="BB_Variablen"/>
      <sheetName val="Általános.adatok"/>
      <sheetName val="ESZKÖZÖK"/>
      <sheetName val="FORRÁSOK"/>
      <sheetName val="ÖsszKtg"/>
      <sheetName val="ForgKtg"/>
      <sheetName val="Tao"/>
      <sheetName val="Cash Flow"/>
      <sheetName val="Bef.eszk"/>
      <sheetName val="A.I.1"/>
      <sheetName val="A.I.2"/>
      <sheetName val="A.I.3"/>
      <sheetName val="A.I.4"/>
      <sheetName val="A.I.5"/>
      <sheetName val="A.I.6"/>
      <sheetName val="A.I.7"/>
      <sheetName val="A.II.1"/>
      <sheetName val="A.II.2"/>
      <sheetName val="A.II.3"/>
      <sheetName val="A.II.4"/>
      <sheetName val="A.II.5"/>
      <sheetName val="A.II.6"/>
      <sheetName val="A.II.7"/>
      <sheetName val="A.III.1"/>
      <sheetName val="A.III.2"/>
      <sheetName val="A.III.3"/>
      <sheetName val="A.III.4"/>
      <sheetName val="A.III.5"/>
      <sheetName val="A.III.6"/>
      <sheetName val="A.III.7"/>
      <sheetName val="B.I.1"/>
      <sheetName val="B.I.2"/>
      <sheetName val="B.I.3"/>
      <sheetName val="B.I.4"/>
      <sheetName val="B.I.5"/>
      <sheetName val="B.I.6"/>
      <sheetName val="B.II.1"/>
      <sheetName val="B.II.2"/>
      <sheetName val="B.II.3"/>
      <sheetName val="B.II.4"/>
      <sheetName val="B.II.5"/>
      <sheetName val="B.III.1"/>
      <sheetName val="B.III.2"/>
      <sheetName val="B.III.3"/>
      <sheetName val="B.III.4"/>
      <sheetName val="B.IV.1"/>
      <sheetName val="B.IV.2"/>
      <sheetName val="C.1"/>
      <sheetName val="C.2"/>
      <sheetName val="C.3"/>
      <sheetName val="D.T"/>
      <sheetName val="D.V"/>
      <sheetName val="D.VI"/>
      <sheetName val="E"/>
      <sheetName val="E.1"/>
      <sheetName val="E.2"/>
      <sheetName val="E.3"/>
      <sheetName val="F.I.1"/>
      <sheetName val="F.I.2"/>
      <sheetName val="F.I.3"/>
      <sheetName val="F.II.1"/>
      <sheetName val="F.II.2"/>
      <sheetName val="F.II.3"/>
      <sheetName val="F.II.4"/>
      <sheetName val="F.II.5"/>
      <sheetName val="F.II.6"/>
      <sheetName val="F.II.7"/>
      <sheetName val="F.II.8"/>
      <sheetName val="F.III.1"/>
      <sheetName val="F.III.2"/>
      <sheetName val="F.III.3"/>
      <sheetName val="F.III.4"/>
      <sheetName val="F.III.5"/>
      <sheetName val="F.III.6"/>
      <sheetName val="F.III.7"/>
      <sheetName val="F.III.8"/>
      <sheetName val="G.1"/>
      <sheetName val="G.2"/>
      <sheetName val="G.3"/>
    </sheetNames>
    <sheetDataSet>
      <sheetData sheetId="4">
        <row r="8">
          <cell r="C8" t="str">
            <v>Magyar</v>
          </cell>
        </row>
        <row r="15">
          <cell r="C15" t="str">
            <v>Összköltség</v>
          </cell>
        </row>
        <row r="18">
          <cell r="C18" t="str">
            <v>01-23-456789</v>
          </cell>
        </row>
        <row r="19">
          <cell r="C19" t="str">
            <v>01-23-456789</v>
          </cell>
        </row>
        <row r="24">
          <cell r="C24" t="str">
            <v>Telephely 1</v>
          </cell>
        </row>
        <row r="48">
          <cell r="C48" t="str">
            <v>Tulaj 1</v>
          </cell>
          <cell r="D48">
            <v>1000</v>
          </cell>
          <cell r="F48">
            <v>0.3</v>
          </cell>
        </row>
        <row r="49">
          <cell r="C49" t="str">
            <v>Tulaj 2</v>
          </cell>
          <cell r="D49">
            <v>1000</v>
          </cell>
          <cell r="F49">
            <v>0.7</v>
          </cell>
        </row>
        <row r="68">
          <cell r="B68" t="str">
            <v>Nagykereskedelem</v>
          </cell>
          <cell r="D68" t="str">
            <v>Grosshandel</v>
          </cell>
        </row>
        <row r="91">
          <cell r="C91" t="str">
            <v>Nincs</v>
          </cell>
        </row>
        <row r="92">
          <cell r="C92" t="str">
            <v>1. nem kezdődött, nem volt</v>
          </cell>
        </row>
        <row r="96">
          <cell r="C96">
            <v>37926</v>
          </cell>
        </row>
        <row r="97">
          <cell r="C97">
            <v>38001</v>
          </cell>
        </row>
        <row r="98">
          <cell r="C98">
            <v>38018</v>
          </cell>
        </row>
        <row r="99">
          <cell r="C99">
            <v>38018</v>
          </cell>
        </row>
        <row r="103">
          <cell r="C103">
            <v>-0.5</v>
          </cell>
        </row>
        <row r="104">
          <cell r="C104">
            <v>0.5</v>
          </cell>
        </row>
        <row r="117">
          <cell r="C117" t="str">
            <v>Vizsga Aladár</v>
          </cell>
        </row>
        <row r="118">
          <cell r="C118" t="e">
            <v>#N/A</v>
          </cell>
          <cell r="D118" t="e">
            <v>#N/A</v>
          </cell>
        </row>
        <row r="119">
          <cell r="C119" t="e">
            <v>#N/A</v>
          </cell>
          <cell r="D119" t="e">
            <v>#N/A</v>
          </cell>
        </row>
        <row r="120">
          <cell r="C120" t="e">
            <v>#N/A</v>
          </cell>
        </row>
        <row r="122">
          <cell r="C122" t="str">
            <v>Viizsga Béla</v>
          </cell>
        </row>
        <row r="123">
          <cell r="C123" t="e">
            <v>#N/A</v>
          </cell>
          <cell r="D123" t="e">
            <v>#N/A</v>
          </cell>
        </row>
        <row r="124">
          <cell r="C124" t="e">
            <v>#N/A</v>
          </cell>
          <cell r="D124" t="e">
            <v>#N/A</v>
          </cell>
        </row>
        <row r="125">
          <cell r="C125" t="e">
            <v>#N/A</v>
          </cell>
        </row>
        <row r="127">
          <cell r="C127" t="str">
            <v>Nagyonjó Könyvvizsgáló Kft.</v>
          </cell>
        </row>
        <row r="128">
          <cell r="C128" t="e">
            <v>#N/A</v>
          </cell>
        </row>
        <row r="129">
          <cell r="C129" t="e">
            <v>#N/A</v>
          </cell>
        </row>
        <row r="130">
          <cell r="C130" t="e">
            <v>#N/A</v>
          </cell>
        </row>
        <row r="131">
          <cell r="C131" t="e">
            <v>#N/A</v>
          </cell>
        </row>
        <row r="132">
          <cell r="C132" t="e">
            <v>#N/A</v>
          </cell>
        </row>
        <row r="136">
          <cell r="C136" t="str">
            <v>Kis Könyvelde Bt.</v>
          </cell>
        </row>
        <row r="137">
          <cell r="C137" t="e">
            <v>#N/A</v>
          </cell>
        </row>
        <row r="138">
          <cell r="C138" t="e">
            <v>#N/A</v>
          </cell>
        </row>
        <row r="139">
          <cell r="C139" t="e">
            <v>#N/A</v>
          </cell>
        </row>
        <row r="140">
          <cell r="C140" t="e">
            <v>#N/A</v>
          </cell>
        </row>
        <row r="141">
          <cell r="C141" t="e">
            <v>#N/A</v>
          </cell>
        </row>
        <row r="143">
          <cell r="C143" t="str">
            <v>Könyvelő Ella</v>
          </cell>
        </row>
        <row r="144">
          <cell r="C144" t="e">
            <v>#N/A</v>
          </cell>
          <cell r="D144" t="e">
            <v>#N/A</v>
          </cell>
        </row>
        <row r="145">
          <cell r="C145" t="e">
            <v>#N/A</v>
          </cell>
          <cell r="D145" t="e">
            <v>#N/A</v>
          </cell>
        </row>
        <row r="146">
          <cell r="C146" t="e">
            <v>#N/A</v>
          </cell>
        </row>
        <row r="148">
          <cell r="C148" t="str">
            <v>Rácz &amp; Partners Kft. AccFok</v>
          </cell>
        </row>
        <row r="149">
          <cell r="C149" t="str">
            <v>Windows</v>
          </cell>
        </row>
        <row r="152">
          <cell r="C152">
            <v>1</v>
          </cell>
        </row>
        <row r="153">
          <cell r="C153" t="str">
            <v>Ügyvezető Aladár</v>
          </cell>
        </row>
        <row r="168">
          <cell r="C168" t="str">
            <v>önállóan</v>
          </cell>
          <cell r="D168" t="str">
            <v>allein</v>
          </cell>
        </row>
        <row r="169">
          <cell r="C169" t="str">
            <v>ügyvezető</v>
          </cell>
          <cell r="D169" t="str">
            <v>managing director</v>
          </cell>
        </row>
      </sheetData>
      <sheetData sheetId="54">
        <row r="9">
          <cell r="G9">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4.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5.vml" /><Relationship Id="rId3" Type="http://schemas.openxmlformats.org/officeDocument/2006/relationships/drawing" Target="../drawings/drawing13.xml" /><Relationship Id="rId4"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6.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7.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8.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9.vml" /><Relationship Id="rId3"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10.vml" /><Relationship Id="rId3"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11.vml" /><Relationship Id="rId3"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12.vml" /><Relationship Id="rId3"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13.vml" /><Relationship Id="rId3"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14.vml" /><Relationship Id="rId3"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unka1"/>
  <dimension ref="A1:O109"/>
  <sheetViews>
    <sheetView zoomScale="130" zoomScaleNormal="130" workbookViewId="0" topLeftCell="A1">
      <selection activeCell="B21" sqref="B21"/>
    </sheetView>
  </sheetViews>
  <sheetFormatPr defaultColWidth="9.00390625" defaultRowHeight="12.75"/>
  <cols>
    <col min="1" max="1" width="25.125" style="65" customWidth="1"/>
    <col min="2" max="2" width="55.625" style="65" customWidth="1"/>
    <col min="3" max="3" width="44.375" style="65" customWidth="1"/>
    <col min="4" max="4" width="8.875" style="65" customWidth="1"/>
    <col min="5" max="16384" width="9.125" style="65" customWidth="1"/>
  </cols>
  <sheetData>
    <row r="1" spans="1:14" ht="15.75">
      <c r="A1" s="63" t="s">
        <v>281</v>
      </c>
      <c r="B1" s="64"/>
      <c r="D1" s="367"/>
      <c r="E1" s="367"/>
      <c r="F1" s="367"/>
      <c r="G1" s="367"/>
      <c r="H1" s="367"/>
      <c r="I1" s="367"/>
      <c r="J1" s="367"/>
      <c r="K1" s="367"/>
      <c r="L1" s="367"/>
      <c r="M1" s="367"/>
      <c r="N1" s="367"/>
    </row>
    <row r="2" spans="1:14" ht="12.75">
      <c r="A2" s="64"/>
      <c r="B2" s="64"/>
      <c r="D2" s="367"/>
      <c r="E2" s="1568"/>
      <c r="F2" s="1568"/>
      <c r="G2" s="1568"/>
      <c r="H2" s="1568"/>
      <c r="I2" s="1568"/>
      <c r="J2" s="1568"/>
      <c r="K2" s="367"/>
      <c r="L2" s="367"/>
      <c r="M2" s="367"/>
      <c r="N2" s="367"/>
    </row>
    <row r="3" spans="1:14" ht="20.25">
      <c r="A3" s="66" t="s">
        <v>1071</v>
      </c>
      <c r="B3" s="64"/>
      <c r="D3" s="367"/>
      <c r="E3" s="1568"/>
      <c r="F3" s="1568"/>
      <c r="G3" s="1568"/>
      <c r="H3" s="1568"/>
      <c r="I3" s="1568"/>
      <c r="J3" s="1568"/>
      <c r="K3" s="367"/>
      <c r="L3" s="367"/>
      <c r="M3" s="367"/>
      <c r="N3" s="367"/>
    </row>
    <row r="4" spans="2:15" ht="13.5" thickBot="1">
      <c r="B4" s="261" t="s">
        <v>146</v>
      </c>
      <c r="C4" s="261" t="s">
        <v>145</v>
      </c>
      <c r="D4" s="367"/>
      <c r="E4" s="1568"/>
      <c r="F4" s="1568"/>
      <c r="G4" s="1568"/>
      <c r="H4" s="1568"/>
      <c r="I4" s="1568"/>
      <c r="J4" s="1568"/>
      <c r="K4" s="367"/>
      <c r="L4" s="367"/>
      <c r="M4" s="367"/>
      <c r="N4" s="367"/>
      <c r="O4" s="367"/>
    </row>
    <row r="5" spans="1:15" ht="12.75">
      <c r="A5" s="67" t="s">
        <v>1072</v>
      </c>
      <c r="B5" s="333" t="s">
        <v>385</v>
      </c>
      <c r="C5" s="330" t="s">
        <v>147</v>
      </c>
      <c r="D5" s="367"/>
      <c r="E5" s="1568"/>
      <c r="F5" s="1568" t="s">
        <v>985</v>
      </c>
      <c r="G5" s="1568"/>
      <c r="H5" s="1568"/>
      <c r="I5" s="1568" t="s">
        <v>1419</v>
      </c>
      <c r="J5" s="1568"/>
      <c r="K5" s="367"/>
      <c r="L5" s="367"/>
      <c r="M5" s="367"/>
      <c r="N5" s="367"/>
      <c r="O5" s="367"/>
    </row>
    <row r="6" spans="1:15" ht="12.75">
      <c r="A6" s="68" t="s">
        <v>1073</v>
      </c>
      <c r="B6" s="334" t="s">
        <v>1219</v>
      </c>
      <c r="C6" s="331" t="s">
        <v>148</v>
      </c>
      <c r="D6" s="367"/>
      <c r="E6" s="1568"/>
      <c r="F6" s="1568" t="s">
        <v>702</v>
      </c>
      <c r="G6" s="1568"/>
      <c r="H6" s="1568"/>
      <c r="I6" s="1568" t="s">
        <v>1420</v>
      </c>
      <c r="J6" s="1568"/>
      <c r="K6" s="367"/>
      <c r="L6" s="367"/>
      <c r="M6" s="367"/>
      <c r="N6" s="367"/>
      <c r="O6" s="367"/>
    </row>
    <row r="7" spans="1:15" ht="12.75">
      <c r="A7" s="68" t="s">
        <v>144</v>
      </c>
      <c r="B7" s="334" t="s">
        <v>1220</v>
      </c>
      <c r="C7" s="323"/>
      <c r="D7" s="367"/>
      <c r="E7" s="1568"/>
      <c r="F7" s="1568"/>
      <c r="G7" s="1568"/>
      <c r="H7" s="1568"/>
      <c r="I7" s="1568"/>
      <c r="J7" s="1568"/>
      <c r="K7" s="367"/>
      <c r="L7" s="367"/>
      <c r="M7" s="367"/>
      <c r="N7" s="367"/>
      <c r="O7" s="367"/>
    </row>
    <row r="8" spans="1:15" ht="12.75">
      <c r="A8" s="68" t="s">
        <v>1074</v>
      </c>
      <c r="B8" s="334" t="s">
        <v>1221</v>
      </c>
      <c r="C8" s="323"/>
      <c r="D8" s="367"/>
      <c r="E8" s="1568"/>
      <c r="F8" s="1568" t="s">
        <v>146</v>
      </c>
      <c r="G8" s="1568"/>
      <c r="H8" s="1568"/>
      <c r="I8" s="1568"/>
      <c r="J8" s="1568"/>
      <c r="K8" s="367"/>
      <c r="L8" s="367"/>
      <c r="M8" s="367"/>
      <c r="N8" s="367"/>
      <c r="O8" s="367"/>
    </row>
    <row r="9" spans="1:15" ht="12.75">
      <c r="A9" s="68" t="s">
        <v>1075</v>
      </c>
      <c r="B9" s="336" t="s">
        <v>1222</v>
      </c>
      <c r="C9" s="323"/>
      <c r="D9" s="367"/>
      <c r="E9" s="1568"/>
      <c r="F9" s="1568" t="s">
        <v>1709</v>
      </c>
      <c r="G9" s="1568"/>
      <c r="H9" s="1568"/>
      <c r="I9" s="1568"/>
      <c r="J9" s="1568"/>
      <c r="K9" s="367"/>
      <c r="L9" s="367"/>
      <c r="M9" s="367"/>
      <c r="N9" s="367"/>
      <c r="O9" s="367"/>
    </row>
    <row r="10" spans="1:15" ht="12.75">
      <c r="A10" s="68" t="s">
        <v>1076</v>
      </c>
      <c r="B10" s="336" t="s">
        <v>1223</v>
      </c>
      <c r="C10" s="323"/>
      <c r="D10" s="367"/>
      <c r="E10" s="1568"/>
      <c r="F10" s="1568" t="s">
        <v>149</v>
      </c>
      <c r="G10" s="1568"/>
      <c r="H10" s="1568"/>
      <c r="I10" s="1568"/>
      <c r="J10" s="1568"/>
      <c r="K10" s="367"/>
      <c r="L10" s="367"/>
      <c r="M10" s="367"/>
      <c r="N10" s="367"/>
      <c r="O10" s="367"/>
    </row>
    <row r="11" spans="1:15" ht="12.75">
      <c r="A11" s="68" t="s">
        <v>525</v>
      </c>
      <c r="B11" s="335">
        <v>2015</v>
      </c>
      <c r="C11" s="332" t="str">
        <f>"31 Március "&amp;B14</f>
        <v>31 Március 2015</v>
      </c>
      <c r="D11" s="367"/>
      <c r="E11" s="1568"/>
      <c r="F11" s="1568"/>
      <c r="G11" s="1568"/>
      <c r="H11" s="1568"/>
      <c r="I11" s="1568"/>
      <c r="J11" s="1568"/>
      <c r="K11" s="367"/>
      <c r="L11" s="367"/>
      <c r="M11" s="367"/>
      <c r="N11" s="367"/>
      <c r="O11" s="367"/>
    </row>
    <row r="12" spans="1:15" ht="12.75">
      <c r="A12" s="68" t="s">
        <v>1077</v>
      </c>
      <c r="B12" s="2105" t="s">
        <v>190</v>
      </c>
      <c r="C12" s="332" t="str">
        <f>"31 December "&amp;B15</f>
        <v>31 December 2016. december 31.Hőszolgáltatás </v>
      </c>
      <c r="D12" s="367"/>
      <c r="E12" s="1568"/>
      <c r="F12" s="1568"/>
      <c r="G12" s="1568"/>
      <c r="H12" s="1568"/>
      <c r="I12" s="1568"/>
      <c r="J12" s="1568"/>
      <c r="K12" s="367"/>
      <c r="L12" s="367"/>
      <c r="M12" s="367"/>
      <c r="N12" s="367"/>
      <c r="O12" s="367"/>
    </row>
    <row r="13" spans="1:15" ht="12.75">
      <c r="A13" s="68" t="s">
        <v>625</v>
      </c>
      <c r="B13" s="365" t="s">
        <v>191</v>
      </c>
      <c r="C13" s="366" t="s">
        <v>1146</v>
      </c>
      <c r="D13" s="367"/>
      <c r="E13" s="1568"/>
      <c r="F13" s="1568" t="s">
        <v>1464</v>
      </c>
      <c r="G13" s="1568"/>
      <c r="H13" s="1568"/>
      <c r="I13" s="1568"/>
      <c r="J13" s="1568"/>
      <c r="K13" s="367"/>
      <c r="L13" s="367"/>
      <c r="M13" s="367"/>
      <c r="N13" s="367"/>
      <c r="O13" s="367"/>
    </row>
    <row r="14" spans="1:15" ht="12.75">
      <c r="A14" s="68" t="s">
        <v>308</v>
      </c>
      <c r="B14" s="385" t="s">
        <v>192</v>
      </c>
      <c r="C14" s="323"/>
      <c r="D14" s="367"/>
      <c r="E14" s="1568"/>
      <c r="F14" s="1568" t="s">
        <v>1465</v>
      </c>
      <c r="G14" s="1568"/>
      <c r="H14" s="1568"/>
      <c r="I14" s="1568"/>
      <c r="J14" s="1568"/>
      <c r="K14" s="367"/>
      <c r="L14" s="367"/>
      <c r="M14" s="367"/>
      <c r="N14" s="367"/>
      <c r="O14" s="367"/>
    </row>
    <row r="15" spans="1:15" ht="12.75">
      <c r="A15" s="68" t="s">
        <v>309</v>
      </c>
      <c r="B15" s="334" t="s">
        <v>193</v>
      </c>
      <c r="C15" s="323"/>
      <c r="D15" s="367"/>
      <c r="E15" s="1568"/>
      <c r="F15" s="1568"/>
      <c r="G15" s="1568"/>
      <c r="H15" s="1568"/>
      <c r="I15" s="1568"/>
      <c r="J15" s="1568"/>
      <c r="K15" s="367"/>
      <c r="L15" s="367"/>
      <c r="M15" s="367"/>
      <c r="N15" s="367"/>
      <c r="O15" s="367"/>
    </row>
    <row r="16" spans="1:15" ht="12.75">
      <c r="A16" s="328" t="s">
        <v>310</v>
      </c>
      <c r="B16" s="334" t="s">
        <v>1464</v>
      </c>
      <c r="C16" s="323"/>
      <c r="D16" s="367"/>
      <c r="E16" s="1568"/>
      <c r="F16" s="1568"/>
      <c r="G16" s="1568"/>
      <c r="H16" s="1568"/>
      <c r="I16" s="1568"/>
      <c r="J16" s="1568"/>
      <c r="K16" s="367"/>
      <c r="L16" s="367"/>
      <c r="M16" s="367"/>
      <c r="N16" s="367"/>
      <c r="O16" s="367"/>
    </row>
    <row r="17" spans="1:15" ht="12.75">
      <c r="A17" s="328" t="s">
        <v>1468</v>
      </c>
      <c r="B17" s="334" t="s">
        <v>702</v>
      </c>
      <c r="C17" s="323" t="str">
        <f>IF(B17=F5,"Financial Statements","Simplified Financial Statements")</f>
        <v>Simplified Financial Statements</v>
      </c>
      <c r="D17" s="367"/>
      <c r="E17" s="1568"/>
      <c r="F17" s="1568"/>
      <c r="G17" s="1568"/>
      <c r="H17" s="1568"/>
      <c r="I17" s="1568"/>
      <c r="J17" s="1568"/>
      <c r="K17" s="367"/>
      <c r="L17" s="367"/>
      <c r="M17" s="367"/>
      <c r="N17" s="367"/>
      <c r="O17" s="367"/>
    </row>
    <row r="18" spans="1:15" ht="12.75">
      <c r="A18" s="328" t="s">
        <v>1012</v>
      </c>
      <c r="B18" s="368" t="s">
        <v>1419</v>
      </c>
      <c r="C18" s="323"/>
      <c r="D18" s="367"/>
      <c r="E18" s="1568"/>
      <c r="F18" s="1568"/>
      <c r="G18" s="1568"/>
      <c r="H18" s="1568"/>
      <c r="I18" s="1568"/>
      <c r="J18" s="1568"/>
      <c r="K18" s="367"/>
      <c r="L18" s="367"/>
      <c r="M18" s="367"/>
      <c r="N18" s="367"/>
      <c r="O18" s="367"/>
    </row>
    <row r="19" spans="1:15" ht="12.75">
      <c r="A19" s="328" t="s">
        <v>1138</v>
      </c>
      <c r="B19" s="368" t="s">
        <v>146</v>
      </c>
      <c r="C19" s="323"/>
      <c r="D19" s="367"/>
      <c r="E19" s="1568"/>
      <c r="F19" s="1568"/>
      <c r="G19" s="1568"/>
      <c r="H19" s="1568"/>
      <c r="I19" s="1568"/>
      <c r="J19" s="1568"/>
      <c r="K19" s="367"/>
      <c r="L19" s="367"/>
      <c r="M19" s="367"/>
      <c r="N19" s="367"/>
      <c r="O19" s="367"/>
    </row>
    <row r="20" spans="1:15" ht="12.75">
      <c r="A20" s="369" t="s">
        <v>25</v>
      </c>
      <c r="B20" s="1979" t="s">
        <v>1523</v>
      </c>
      <c r="C20" s="323"/>
      <c r="D20" s="367"/>
      <c r="E20" s="1568"/>
      <c r="F20" s="1568"/>
      <c r="G20" s="1568"/>
      <c r="H20" s="1568"/>
      <c r="I20" s="1568"/>
      <c r="J20" s="1568"/>
      <c r="K20" s="367"/>
      <c r="L20" s="367"/>
      <c r="M20" s="367"/>
      <c r="N20" s="367"/>
      <c r="O20" s="367"/>
    </row>
    <row r="21" spans="1:15" ht="12.75">
      <c r="A21" s="369" t="s">
        <v>26</v>
      </c>
      <c r="B21" s="1980" t="s">
        <v>1524</v>
      </c>
      <c r="C21" s="373"/>
      <c r="D21" s="367"/>
      <c r="E21" s="1568"/>
      <c r="F21" s="1568"/>
      <c r="G21" s="1568"/>
      <c r="H21" s="1568"/>
      <c r="I21" s="1568"/>
      <c r="J21" s="1568"/>
      <c r="K21" s="367"/>
      <c r="L21" s="367"/>
      <c r="M21" s="367"/>
      <c r="N21" s="367"/>
      <c r="O21" s="367"/>
    </row>
    <row r="22" spans="1:15" ht="13.5" thickBot="1">
      <c r="A22" s="370" t="s">
        <v>1418</v>
      </c>
      <c r="B22" s="2103" t="s">
        <v>194</v>
      </c>
      <c r="C22" s="329"/>
      <c r="D22" s="367"/>
      <c r="E22" s="1568"/>
      <c r="F22" s="1568"/>
      <c r="G22" s="1568"/>
      <c r="H22" s="1568"/>
      <c r="I22" s="1568"/>
      <c r="J22" s="1568"/>
      <c r="K22" s="367"/>
      <c r="L22" s="367"/>
      <c r="M22" s="367"/>
      <c r="N22" s="367"/>
      <c r="O22" s="367"/>
    </row>
    <row r="23" spans="1:15" ht="12.75">
      <c r="A23" s="56"/>
      <c r="C23" s="367"/>
      <c r="D23" s="367"/>
      <c r="E23" s="1568"/>
      <c r="F23" s="1568"/>
      <c r="G23" s="1568"/>
      <c r="H23" s="1568"/>
      <c r="I23" s="1568"/>
      <c r="J23" s="1568"/>
      <c r="K23" s="367"/>
      <c r="L23" s="367"/>
      <c r="M23" s="367"/>
      <c r="N23" s="367"/>
      <c r="O23" s="367"/>
    </row>
    <row r="24" spans="1:15" ht="15.75">
      <c r="A24" s="69" t="s">
        <v>311</v>
      </c>
      <c r="B24" s="70"/>
      <c r="C24" s="367"/>
      <c r="D24" s="367"/>
      <c r="E24" s="1568"/>
      <c r="F24" s="1568"/>
      <c r="G24" s="1568"/>
      <c r="H24" s="1568"/>
      <c r="I24" s="1568"/>
      <c r="J24" s="1568"/>
      <c r="K24" s="367"/>
      <c r="L24" s="367"/>
      <c r="M24" s="367"/>
      <c r="N24" s="367"/>
      <c r="O24" s="367"/>
    </row>
    <row r="25" spans="1:15" ht="23.25">
      <c r="A25" s="71" t="s">
        <v>312</v>
      </c>
      <c r="B25" s="362" t="s">
        <v>215</v>
      </c>
      <c r="C25" s="367"/>
      <c r="D25" s="367"/>
      <c r="E25" s="1568"/>
      <c r="F25" s="1568"/>
      <c r="G25" s="1568"/>
      <c r="H25" s="1568"/>
      <c r="I25" s="1568"/>
      <c r="J25" s="1568"/>
      <c r="K25" s="367"/>
      <c r="L25" s="367"/>
      <c r="M25" s="367"/>
      <c r="N25" s="367"/>
      <c r="O25" s="367"/>
    </row>
    <row r="26" spans="1:15" ht="12.75">
      <c r="A26" s="367"/>
      <c r="B26" s="367"/>
      <c r="C26" s="367"/>
      <c r="D26" s="367"/>
      <c r="E26" s="367"/>
      <c r="F26" s="367"/>
      <c r="G26" s="367"/>
      <c r="H26" s="367"/>
      <c r="I26" s="367"/>
      <c r="J26" s="367"/>
      <c r="K26" s="367"/>
      <c r="L26" s="367"/>
      <c r="M26" s="367"/>
      <c r="N26" s="367"/>
      <c r="O26" s="367"/>
    </row>
    <row r="27" spans="1:15" ht="12.75">
      <c r="A27" s="367"/>
      <c r="B27" s="367"/>
      <c r="C27" s="367"/>
      <c r="D27" s="367"/>
      <c r="E27" s="367"/>
      <c r="F27" s="367"/>
      <c r="G27" s="367"/>
      <c r="H27" s="367"/>
      <c r="I27" s="367"/>
      <c r="J27" s="367"/>
      <c r="K27" s="367"/>
      <c r="L27" s="367"/>
      <c r="M27" s="367"/>
      <c r="N27" s="367"/>
      <c r="O27" s="367"/>
    </row>
    <row r="28" spans="1:14" ht="12.75">
      <c r="A28" s="367"/>
      <c r="B28" s="367"/>
      <c r="C28" s="367"/>
      <c r="D28" s="367"/>
      <c r="E28" s="367"/>
      <c r="F28" s="367"/>
      <c r="G28" s="367"/>
      <c r="H28" s="367"/>
      <c r="I28" s="367"/>
      <c r="J28" s="367"/>
      <c r="K28" s="367"/>
      <c r="L28" s="367"/>
      <c r="M28" s="367"/>
      <c r="N28" s="367"/>
    </row>
    <row r="29" spans="1:14" ht="12.75">
      <c r="A29" s="367"/>
      <c r="B29" s="367"/>
      <c r="C29" s="367"/>
      <c r="D29" s="367"/>
      <c r="E29" s="367"/>
      <c r="F29" s="367"/>
      <c r="G29" s="367"/>
      <c r="H29" s="367"/>
      <c r="I29" s="367"/>
      <c r="J29" s="367"/>
      <c r="K29" s="367"/>
      <c r="L29" s="367"/>
      <c r="M29" s="367"/>
      <c r="N29" s="367"/>
    </row>
    <row r="30" spans="1:14" ht="12.75">
      <c r="A30" s="367"/>
      <c r="B30" s="367"/>
      <c r="C30" s="367"/>
      <c r="D30" s="367"/>
      <c r="E30" s="367"/>
      <c r="F30" s="367"/>
      <c r="G30" s="367"/>
      <c r="H30" s="367"/>
      <c r="I30" s="367"/>
      <c r="J30" s="367"/>
      <c r="K30" s="367"/>
      <c r="L30" s="367"/>
      <c r="M30" s="367"/>
      <c r="N30" s="367"/>
    </row>
    <row r="31" spans="1:14" ht="12.75">
      <c r="A31" s="367"/>
      <c r="B31" s="367"/>
      <c r="C31" s="367"/>
      <c r="D31" s="367"/>
      <c r="E31" s="367"/>
      <c r="F31" s="367"/>
      <c r="G31" s="367"/>
      <c r="H31" s="367"/>
      <c r="I31" s="367"/>
      <c r="J31" s="367"/>
      <c r="K31" s="367"/>
      <c r="L31" s="367"/>
      <c r="M31" s="367"/>
      <c r="N31" s="367"/>
    </row>
    <row r="32" spans="1:14" ht="12.75">
      <c r="A32" s="367"/>
      <c r="B32" s="367"/>
      <c r="C32" s="367"/>
      <c r="D32" s="367"/>
      <c r="E32" s="367"/>
      <c r="F32" s="367"/>
      <c r="G32" s="367"/>
      <c r="H32" s="367"/>
      <c r="I32" s="367"/>
      <c r="J32" s="367"/>
      <c r="K32" s="367"/>
      <c r="L32" s="367"/>
      <c r="M32" s="367"/>
      <c r="N32" s="367"/>
    </row>
    <row r="33" spans="1:14" ht="12.75">
      <c r="A33" s="367"/>
      <c r="B33" s="367"/>
      <c r="C33" s="367"/>
      <c r="D33" s="367"/>
      <c r="E33" s="367"/>
      <c r="F33" s="367"/>
      <c r="G33" s="367"/>
      <c r="H33" s="367"/>
      <c r="I33" s="367"/>
      <c r="J33" s="367"/>
      <c r="K33" s="367"/>
      <c r="L33" s="367"/>
      <c r="M33" s="367"/>
      <c r="N33" s="367"/>
    </row>
    <row r="34" spans="1:12" ht="12.75">
      <c r="A34" s="367"/>
      <c r="B34" s="367"/>
      <c r="C34" s="367"/>
      <c r="D34" s="367"/>
      <c r="E34" s="367"/>
      <c r="F34" s="367"/>
      <c r="G34" s="367"/>
      <c r="H34" s="367"/>
      <c r="I34" s="367"/>
      <c r="J34" s="367"/>
      <c r="K34" s="367"/>
      <c r="L34" s="367"/>
    </row>
    <row r="35" spans="1:12" ht="12.75">
      <c r="A35" s="367"/>
      <c r="B35" s="367"/>
      <c r="C35" s="367"/>
      <c r="D35" s="367"/>
      <c r="E35" s="367"/>
      <c r="F35" s="367"/>
      <c r="G35" s="367"/>
      <c r="H35" s="367"/>
      <c r="I35" s="367"/>
      <c r="J35" s="367"/>
      <c r="K35" s="367"/>
      <c r="L35" s="367"/>
    </row>
    <row r="36" spans="1:12" ht="12.75">
      <c r="A36" s="367"/>
      <c r="B36" s="367"/>
      <c r="C36" s="367"/>
      <c r="D36" s="367"/>
      <c r="E36" s="367"/>
      <c r="F36" s="367"/>
      <c r="G36" s="367"/>
      <c r="H36" s="367"/>
      <c r="I36" s="367"/>
      <c r="J36" s="367"/>
      <c r="K36" s="367"/>
      <c r="L36" s="367"/>
    </row>
    <row r="37" spans="1:12" ht="12.75">
      <c r="A37" s="367"/>
      <c r="B37" s="367"/>
      <c r="C37" s="367"/>
      <c r="D37" s="367"/>
      <c r="E37" s="367"/>
      <c r="F37" s="367"/>
      <c r="G37" s="367"/>
      <c r="H37" s="367"/>
      <c r="I37" s="367"/>
      <c r="J37" s="367"/>
      <c r="K37" s="367"/>
      <c r="L37" s="367"/>
    </row>
    <row r="38" spans="1:12" ht="12.75">
      <c r="A38" s="367"/>
      <c r="B38" s="367"/>
      <c r="C38" s="367"/>
      <c r="D38" s="367"/>
      <c r="E38" s="367"/>
      <c r="F38" s="367"/>
      <c r="G38" s="367"/>
      <c r="H38" s="367"/>
      <c r="I38" s="367"/>
      <c r="J38" s="367"/>
      <c r="K38" s="367"/>
      <c r="L38" s="367"/>
    </row>
    <row r="39" spans="1:12" ht="12.75">
      <c r="A39" s="367"/>
      <c r="B39" s="367"/>
      <c r="C39" s="367"/>
      <c r="D39" s="367"/>
      <c r="E39" s="367"/>
      <c r="F39" s="367"/>
      <c r="G39" s="367"/>
      <c r="H39" s="367"/>
      <c r="I39" s="367"/>
      <c r="J39" s="367"/>
      <c r="K39" s="367"/>
      <c r="L39" s="367"/>
    </row>
    <row r="40" spans="1:12" ht="12.75">
      <c r="A40" s="367"/>
      <c r="B40" s="367"/>
      <c r="C40" s="367"/>
      <c r="D40" s="367"/>
      <c r="E40" s="367"/>
      <c r="F40" s="367"/>
      <c r="G40" s="367"/>
      <c r="H40" s="367"/>
      <c r="I40" s="367"/>
      <c r="J40" s="367"/>
      <c r="K40" s="367"/>
      <c r="L40" s="367"/>
    </row>
    <row r="41" spans="1:12" ht="12.75">
      <c r="A41" s="367"/>
      <c r="B41" s="367"/>
      <c r="C41" s="367"/>
      <c r="D41" s="367"/>
      <c r="E41" s="367"/>
      <c r="F41" s="367"/>
      <c r="G41" s="367"/>
      <c r="H41" s="367"/>
      <c r="I41" s="367"/>
      <c r="J41" s="367"/>
      <c r="K41" s="367"/>
      <c r="L41" s="367"/>
    </row>
    <row r="42" spans="1:12" ht="12.75">
      <c r="A42" s="367"/>
      <c r="B42" s="367"/>
      <c r="C42" s="367"/>
      <c r="D42" s="367"/>
      <c r="E42" s="367"/>
      <c r="F42" s="367"/>
      <c r="G42" s="367"/>
      <c r="H42" s="367"/>
      <c r="I42" s="367"/>
      <c r="J42" s="367"/>
      <c r="K42" s="367"/>
      <c r="L42" s="367"/>
    </row>
    <row r="43" spans="1:12" ht="12.75">
      <c r="A43" s="367"/>
      <c r="B43" s="367"/>
      <c r="C43" s="367"/>
      <c r="D43" s="367"/>
      <c r="E43" s="367"/>
      <c r="F43" s="367"/>
      <c r="G43" s="367"/>
      <c r="H43" s="367"/>
      <c r="I43" s="367"/>
      <c r="J43" s="367"/>
      <c r="K43" s="367"/>
      <c r="L43" s="367"/>
    </row>
    <row r="44" spans="1:4" ht="12.75">
      <c r="A44" s="367"/>
      <c r="B44" s="367"/>
      <c r="C44" s="367"/>
      <c r="D44" s="367"/>
    </row>
    <row r="45" spans="1:4" ht="12.75">
      <c r="A45" s="367"/>
      <c r="B45" s="367"/>
      <c r="C45" s="367"/>
      <c r="D45" s="367"/>
    </row>
    <row r="46" spans="1:4" ht="12.75">
      <c r="A46" s="371" t="s">
        <v>313</v>
      </c>
      <c r="B46" s="367"/>
      <c r="C46" s="367" t="s">
        <v>720</v>
      </c>
      <c r="D46" s="367"/>
    </row>
    <row r="47" spans="1:4" ht="12.75">
      <c r="A47" s="371" t="s">
        <v>1290</v>
      </c>
      <c r="B47" s="367"/>
      <c r="C47" s="367" t="s">
        <v>721</v>
      </c>
      <c r="D47" s="367"/>
    </row>
    <row r="48" spans="1:4" ht="12.75">
      <c r="A48" s="367"/>
      <c r="B48" s="367"/>
      <c r="C48" s="367"/>
      <c r="D48" s="367"/>
    </row>
    <row r="49" spans="1:4" ht="12.75">
      <c r="A49" s="367"/>
      <c r="B49" s="367"/>
      <c r="C49" s="367"/>
      <c r="D49" s="367"/>
    </row>
    <row r="50" spans="1:4" ht="12.75">
      <c r="A50" s="367"/>
      <c r="B50" s="367"/>
      <c r="C50" s="367"/>
      <c r="D50" s="367"/>
    </row>
    <row r="51" spans="1:4" ht="12.75">
      <c r="A51" s="367"/>
      <c r="B51" s="367"/>
      <c r="C51" s="367"/>
      <c r="D51" s="367"/>
    </row>
    <row r="52" spans="1:4" ht="12.75">
      <c r="A52" s="367"/>
      <c r="B52" s="367"/>
      <c r="C52" s="367"/>
      <c r="D52" s="367"/>
    </row>
    <row r="53" spans="1:4" ht="12.75">
      <c r="A53" s="367"/>
      <c r="B53" s="367"/>
      <c r="C53" s="367"/>
      <c r="D53" s="367"/>
    </row>
    <row r="54" spans="1:4" ht="12.75">
      <c r="A54" s="367"/>
      <c r="B54" s="367"/>
      <c r="C54" s="367"/>
      <c r="D54" s="367"/>
    </row>
    <row r="55" spans="1:4" ht="12.75">
      <c r="A55" s="367"/>
      <c r="B55" s="367"/>
      <c r="C55" s="367"/>
      <c r="D55" s="367"/>
    </row>
    <row r="56" spans="1:4" ht="12.75">
      <c r="A56" s="367"/>
      <c r="B56" s="367"/>
      <c r="C56" s="367"/>
      <c r="D56" s="367"/>
    </row>
    <row r="57" spans="1:4" ht="12.75">
      <c r="A57" s="367"/>
      <c r="B57" s="367"/>
      <c r="C57" s="367"/>
      <c r="D57" s="367"/>
    </row>
    <row r="63" ht="12.75">
      <c r="E63" s="65">
        <v>16752</v>
      </c>
    </row>
    <row r="105" ht="12.75">
      <c r="E105" s="65">
        <v>38669</v>
      </c>
    </row>
    <row r="109" ht="12.75">
      <c r="E109" s="65">
        <v>-5551</v>
      </c>
    </row>
  </sheetData>
  <sheetProtection/>
  <dataValidations count="4">
    <dataValidation type="list" allowBlank="1" showInputMessage="1" showErrorMessage="1" sqref="B17">
      <formula1>$F$5:$F$6</formula1>
    </dataValidation>
    <dataValidation type="list" allowBlank="1" showInputMessage="1" showErrorMessage="1" sqref="B19">
      <formula1>$F$8:$F$10</formula1>
    </dataValidation>
    <dataValidation type="list" allowBlank="1" showInputMessage="1" showErrorMessage="1" sqref="B16">
      <formula1>$F$13:$F$14</formula1>
    </dataValidation>
    <dataValidation type="list" allowBlank="1" showInputMessage="1" showErrorMessage="1" sqref="B18">
      <formula1>$I$5:$I$6</formula1>
    </dataValidation>
  </dataValidations>
  <printOptions horizontalCentered="1" vertic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10.xml><?xml version="1.0" encoding="utf-8"?>
<worksheet xmlns="http://schemas.openxmlformats.org/spreadsheetml/2006/main" xmlns:r="http://schemas.openxmlformats.org/officeDocument/2006/relationships">
  <sheetPr codeName="Munka12"/>
  <dimension ref="A3:U48"/>
  <sheetViews>
    <sheetView showGridLines="0" workbookViewId="0" topLeftCell="A1">
      <selection activeCell="A43" sqref="A43"/>
    </sheetView>
  </sheetViews>
  <sheetFormatPr defaultColWidth="9.00390625" defaultRowHeight="12.75"/>
  <cols>
    <col min="1" max="17" width="2.75390625" style="4" customWidth="1"/>
    <col min="18" max="20" width="9.125" style="4" customWidth="1"/>
    <col min="21" max="21" width="11.75390625" style="4" customWidth="1"/>
    <col min="22" max="16384" width="9.125" style="4" customWidth="1"/>
  </cols>
  <sheetData>
    <row r="2" ht="13.5" thickBot="1"/>
    <row r="3" spans="1:17" ht="13.5" thickBot="1">
      <c r="A3" s="20" t="str">
        <f>'Beszámoló Fedlap'!A3</f>
        <v>1</v>
      </c>
      <c r="B3" s="21" t="str">
        <f>'Beszámoló Fedlap'!B3</f>
        <v>1</v>
      </c>
      <c r="C3" s="21" t="str">
        <f>'Beszámoló Fedlap'!C3</f>
        <v>1</v>
      </c>
      <c r="D3" s="21" t="str">
        <f>'Beszámoló Fedlap'!D3</f>
        <v>8</v>
      </c>
      <c r="E3" s="21" t="str">
        <f>'Beszámoló Fedlap'!E3</f>
        <v>3</v>
      </c>
      <c r="F3" s="21" t="str">
        <f>'Beszámoló Fedlap'!F3</f>
        <v>8</v>
      </c>
      <c r="G3" s="21" t="str">
        <f>'Beszámoló Fedlap'!G3</f>
        <v>5</v>
      </c>
      <c r="H3" s="21" t="str">
        <f>'Beszámoló Fedlap'!H3</f>
        <v>5</v>
      </c>
      <c r="I3" s="20" t="str">
        <f>'Beszámoló Fedlap'!I3</f>
        <v>3</v>
      </c>
      <c r="J3" s="21" t="str">
        <f>'Beszámoló Fedlap'!J3</f>
        <v>5</v>
      </c>
      <c r="K3" s="21" t="str">
        <f>'Beszámoló Fedlap'!K3</f>
        <v>3</v>
      </c>
      <c r="L3" s="21" t="str">
        <f>'Beszámoló Fedlap'!L3</f>
        <v>0</v>
      </c>
      <c r="M3" s="20" t="str">
        <f>'Beszámoló Fedlap'!M3</f>
        <v>1</v>
      </c>
      <c r="N3" s="21" t="str">
        <f>'Beszámoló Fedlap'!N3</f>
        <v>1</v>
      </c>
      <c r="O3" s="21" t="str">
        <f>'Beszámoló Fedlap'!O3</f>
        <v>3</v>
      </c>
      <c r="P3" s="20" t="str">
        <f>'Beszámoló Fedlap'!P3</f>
        <v>1</v>
      </c>
      <c r="Q3" s="22" t="str">
        <f>'Beszámoló Fedlap'!Q3</f>
        <v>1</v>
      </c>
    </row>
    <row r="4" spans="1:17" ht="12.75">
      <c r="A4" s="45" t="str">
        <f>'Beszámoló Fedlap'!A4</f>
        <v>Statitsztikai számjel</v>
      </c>
      <c r="B4" s="28"/>
      <c r="C4" s="28"/>
      <c r="D4" s="28"/>
      <c r="E4" s="28"/>
      <c r="F4" s="28"/>
      <c r="G4" s="28"/>
      <c r="H4" s="28"/>
      <c r="I4" s="28"/>
      <c r="J4" s="28"/>
      <c r="K4" s="28"/>
      <c r="L4" s="28"/>
      <c r="M4" s="28"/>
      <c r="N4" s="28"/>
      <c r="O4" s="28"/>
      <c r="P4" s="28"/>
      <c r="Q4" s="28"/>
    </row>
    <row r="5" ht="13.5" thickBot="1"/>
    <row r="6" spans="1:17" ht="13.5" thickBot="1">
      <c r="A6" s="20" t="str">
        <f>'Beszámoló Fedlap'!A6</f>
        <v>1</v>
      </c>
      <c r="B6" s="21" t="str">
        <f>'Beszámoló Fedlap'!B6</f>
        <v>1</v>
      </c>
      <c r="C6" s="21" t="str">
        <f>'Beszámoló Fedlap'!C6</f>
        <v>-</v>
      </c>
      <c r="D6" s="21" t="str">
        <f>'Beszámoló Fedlap'!D6</f>
        <v>0</v>
      </c>
      <c r="E6" s="21" t="str">
        <f>'Beszámoló Fedlap'!E6</f>
        <v>9</v>
      </c>
      <c r="F6" s="21" t="str">
        <f>'Beszámoló Fedlap'!F6</f>
        <v>-</v>
      </c>
      <c r="G6" s="21" t="str">
        <f>'Beszámoló Fedlap'!G6</f>
        <v>0</v>
      </c>
      <c r="H6" s="21" t="str">
        <f>'Beszámoló Fedlap'!H6</f>
        <v>0</v>
      </c>
      <c r="I6" s="21" t="str">
        <f>'Beszámoló Fedlap'!I6</f>
        <v>2</v>
      </c>
      <c r="J6" s="21" t="str">
        <f>'Beszámoló Fedlap'!J6</f>
        <v>7</v>
      </c>
      <c r="K6" s="21" t="str">
        <f>'Beszámoló Fedlap'!K6</f>
        <v>0</v>
      </c>
      <c r="L6" s="22" t="str">
        <f>'Beszámoló Fedlap'!L6</f>
        <v>0</v>
      </c>
      <c r="M6" s="46"/>
      <c r="N6" s="46"/>
      <c r="O6" s="46"/>
      <c r="P6" s="46"/>
      <c r="Q6" s="46"/>
    </row>
    <row r="7" spans="1:12" ht="12.75">
      <c r="A7" s="45" t="str">
        <f>'Beszámoló Fedlap'!A7</f>
        <v>Cégjegyzék szám</v>
      </c>
      <c r="B7" s="28"/>
      <c r="C7" s="28"/>
      <c r="D7" s="28"/>
      <c r="E7" s="28"/>
      <c r="F7" s="28"/>
      <c r="G7" s="47"/>
      <c r="H7" s="28"/>
      <c r="I7" s="28"/>
      <c r="J7" s="28"/>
      <c r="K7" s="28"/>
      <c r="L7" s="28"/>
    </row>
    <row r="9" spans="1:12" ht="12.75">
      <c r="A9" s="4" t="str">
        <f>'Beszámoló Fedlap'!A9</f>
        <v>Adószám</v>
      </c>
      <c r="G9" s="23"/>
      <c r="L9" s="23" t="str">
        <f>'Beszámoló Fedlap'!L9</f>
        <v>11183855-2-11</v>
      </c>
    </row>
    <row r="12" spans="1:21" ht="12.75">
      <c r="A12" s="93" t="str">
        <f>'Beszámoló Fedlap'!A12</f>
        <v>A vállalkozás megnevezése</v>
      </c>
      <c r="B12" s="94"/>
      <c r="C12" s="1"/>
      <c r="D12" s="1"/>
      <c r="E12" s="1"/>
      <c r="F12" s="1"/>
      <c r="G12" s="1"/>
      <c r="H12" s="1"/>
      <c r="I12" s="1"/>
      <c r="J12" s="1"/>
      <c r="K12" s="1"/>
      <c r="L12" s="339" t="str">
        <f>'Beszámoló Fedlap'!L12</f>
        <v>Komáromi Távhő Kft</v>
      </c>
      <c r="M12" s="24"/>
      <c r="N12" s="24"/>
      <c r="O12" s="24"/>
      <c r="P12" s="24"/>
      <c r="Q12" s="24"/>
      <c r="R12" s="24"/>
      <c r="S12" s="24"/>
      <c r="T12" s="24"/>
      <c r="U12" s="24"/>
    </row>
    <row r="13" ht="12.75">
      <c r="L13" s="623"/>
    </row>
    <row r="14" spans="1:21" ht="12.75">
      <c r="A14" s="93" t="str">
        <f>'Beszámoló Fedlap'!A16</f>
        <v>A vállalkozás székhelye</v>
      </c>
      <c r="B14" s="1"/>
      <c r="C14" s="1"/>
      <c r="D14" s="1"/>
      <c r="E14" s="1"/>
      <c r="F14" s="1"/>
      <c r="G14" s="1"/>
      <c r="H14" s="1"/>
      <c r="I14" s="1"/>
      <c r="J14" s="1"/>
      <c r="K14" s="1"/>
      <c r="L14" s="26" t="str">
        <f>'Beszámoló Fedlap'!L16</f>
        <v>2900 Komárom, Csokonai út 2.</v>
      </c>
      <c r="M14" s="24"/>
      <c r="N14" s="24"/>
      <c r="O14" s="24"/>
      <c r="P14" s="24"/>
      <c r="Q14" s="24"/>
      <c r="R14" s="24"/>
      <c r="S14" s="24"/>
      <c r="T14" s="24"/>
      <c r="U14" s="24"/>
    </row>
    <row r="23" spans="1:21" ht="15.75">
      <c r="A23" s="27"/>
      <c r="B23" s="28"/>
      <c r="C23" s="28"/>
      <c r="D23" s="28"/>
      <c r="E23" s="28"/>
      <c r="F23" s="28"/>
      <c r="G23" s="28"/>
      <c r="H23" s="28"/>
      <c r="I23" s="28"/>
      <c r="J23" s="28"/>
      <c r="K23" s="28"/>
      <c r="L23" s="28"/>
      <c r="M23" s="28"/>
      <c r="N23" s="28"/>
      <c r="O23" s="28"/>
      <c r="P23" s="28"/>
      <c r="Q23" s="28"/>
      <c r="R23" s="28"/>
      <c r="S23" s="28"/>
      <c r="T23" s="28"/>
      <c r="U23" s="28"/>
    </row>
    <row r="25" spans="1:21" ht="25.5" customHeight="1">
      <c r="A25" s="29" t="str">
        <f>IF(Általános!$B$19=Általános!$F$8,GLOBAL!B204,IF(Általános!$B$19=Általános!$F$9,GLOBAL!C204,IF(Általános!$B$19=Általános!$F$10,GLOBAL!D204)))</f>
        <v>Kiegészítő melléklet</v>
      </c>
      <c r="B25" s="30"/>
      <c r="C25" s="30"/>
      <c r="D25" s="30"/>
      <c r="E25" s="30"/>
      <c r="F25" s="30"/>
      <c r="G25" s="30"/>
      <c r="H25" s="30"/>
      <c r="I25" s="30"/>
      <c r="J25" s="30"/>
      <c r="K25" s="30"/>
      <c r="L25" s="30"/>
      <c r="M25" s="30"/>
      <c r="N25" s="30"/>
      <c r="O25" s="30"/>
      <c r="P25" s="30"/>
      <c r="Q25" s="30"/>
      <c r="R25" s="30"/>
      <c r="S25" s="30"/>
      <c r="T25" s="30"/>
      <c r="U25" s="30"/>
    </row>
    <row r="26" ht="12.75" customHeight="1"/>
    <row r="27" spans="1:21" ht="25.5" customHeight="1">
      <c r="A27" s="338" t="str">
        <f>'Beszámoló Fedlap'!A28</f>
        <v>2016. december 31.Hőszolgáltatás </v>
      </c>
      <c r="B27" s="28"/>
      <c r="C27" s="28"/>
      <c r="D27" s="28"/>
      <c r="E27" s="28"/>
      <c r="F27" s="28"/>
      <c r="G27" s="28"/>
      <c r="H27" s="28"/>
      <c r="I27" s="28"/>
      <c r="J27" s="28"/>
      <c r="K27" s="28"/>
      <c r="L27" s="28"/>
      <c r="M27" s="28"/>
      <c r="N27" s="28"/>
      <c r="O27" s="28"/>
      <c r="P27" s="28"/>
      <c r="Q27" s="28"/>
      <c r="R27" s="28"/>
      <c r="S27" s="28"/>
      <c r="T27" s="28"/>
      <c r="U27" s="28"/>
    </row>
    <row r="28" ht="12.75" customHeight="1"/>
    <row r="29" spans="1:21" ht="25.5" customHeight="1">
      <c r="A29" s="29" t="str">
        <f>'Beszámoló Fedlap'!A30</f>
        <v>üzleti évről</v>
      </c>
      <c r="B29" s="28"/>
      <c r="C29" s="28"/>
      <c r="D29" s="28"/>
      <c r="E29" s="28"/>
      <c r="F29" s="28"/>
      <c r="G29" s="28"/>
      <c r="H29" s="28"/>
      <c r="I29" s="28"/>
      <c r="J29" s="28"/>
      <c r="K29" s="28"/>
      <c r="L29" s="28"/>
      <c r="M29" s="28"/>
      <c r="N29" s="28"/>
      <c r="O29" s="28"/>
      <c r="P29" s="28"/>
      <c r="Q29" s="28"/>
      <c r="R29" s="28"/>
      <c r="S29" s="28"/>
      <c r="T29" s="28"/>
      <c r="U29" s="28"/>
    </row>
    <row r="30" ht="15.75">
      <c r="M30" s="31"/>
    </row>
    <row r="31" spans="1:21" ht="15">
      <c r="A31" s="123" t="str">
        <f>'Beszámoló Fedlap'!A32</f>
        <v>A közzétett adatokat könyvvizsgáló ellenőrizte</v>
      </c>
      <c r="B31" s="123"/>
      <c r="C31" s="123"/>
      <c r="D31" s="123"/>
      <c r="E31" s="123"/>
      <c r="F31" s="123"/>
      <c r="G31" s="123"/>
      <c r="H31" s="123"/>
      <c r="I31" s="123"/>
      <c r="J31" s="123"/>
      <c r="K31" s="123"/>
      <c r="L31" s="123"/>
      <c r="M31" s="123"/>
      <c r="N31" s="123"/>
      <c r="O31" s="123"/>
      <c r="P31" s="123"/>
      <c r="Q31" s="123"/>
      <c r="R31" s="123"/>
      <c r="S31" s="123"/>
      <c r="T31" s="123"/>
      <c r="U31" s="123"/>
    </row>
    <row r="43" spans="1:21" ht="12.75">
      <c r="A43" s="28" t="str">
        <f>'Beszámoló Fedlap'!A44</f>
        <v>      P.H.</v>
      </c>
      <c r="B43" s="28"/>
      <c r="C43" s="28"/>
      <c r="D43" s="28"/>
      <c r="E43" s="28"/>
      <c r="F43" s="28"/>
      <c r="G43" s="28"/>
      <c r="H43" s="28"/>
      <c r="I43" s="28"/>
      <c r="J43" s="28"/>
      <c r="K43" s="28"/>
      <c r="L43" s="28"/>
      <c r="M43" s="28"/>
      <c r="N43" s="28"/>
      <c r="O43" s="28"/>
      <c r="P43" s="28"/>
      <c r="Q43" s="28"/>
      <c r="R43" s="28"/>
      <c r="S43" s="28"/>
      <c r="T43" s="28"/>
      <c r="U43" s="28"/>
    </row>
    <row r="46" spans="2:21" ht="12.75">
      <c r="B46" s="1" t="str">
        <f>Mérleg"A"!A83</f>
        <v>Keltezés:</v>
      </c>
      <c r="E46" s="341" t="str">
        <f>'Beszámoló Fedlap'!E47</f>
        <v>Komárom, 2016.04.29.</v>
      </c>
      <c r="F46" s="24"/>
      <c r="G46" s="24"/>
      <c r="H46" s="24"/>
      <c r="I46" s="24"/>
      <c r="J46" s="24"/>
      <c r="K46" s="24"/>
      <c r="L46" s="24"/>
      <c r="M46" s="24"/>
      <c r="N46" s="24"/>
      <c r="O46" s="24"/>
      <c r="Q46" s="24"/>
      <c r="R46" s="24"/>
      <c r="S46" s="24"/>
      <c r="T46" s="24"/>
      <c r="U46" s="24"/>
    </row>
    <row r="47" spans="17:21" ht="15" customHeight="1">
      <c r="Q47" s="28" t="str">
        <f>'Beszámoló Fedlap'!Q48</f>
        <v>vállalakozás vezetője</v>
      </c>
      <c r="R47" s="28"/>
      <c r="S47" s="28"/>
      <c r="T47" s="28"/>
      <c r="U47" s="28"/>
    </row>
    <row r="48" spans="17:21" ht="12.75">
      <c r="Q48" s="28" t="str">
        <f>'Beszámoló Fedlap'!Q49</f>
        <v>(képviselője)</v>
      </c>
      <c r="R48" s="28"/>
      <c r="S48" s="28"/>
      <c r="T48" s="28"/>
      <c r="U48" s="28"/>
    </row>
  </sheetData>
  <sheetProtection/>
  <printOptions horizontalCentered="1"/>
  <pageMargins left="0.7874015748031497" right="0.7874015748031497" top="0.6" bottom="0.984251968503937" header="0.39" footer="0.5118110236220472"/>
  <pageSetup horizontalDpi="120" verticalDpi="120" orientation="portrait" paperSize="9" r:id="rId1"/>
</worksheet>
</file>

<file path=xl/worksheets/sheet11.xml><?xml version="1.0" encoding="utf-8"?>
<worksheet xmlns="http://schemas.openxmlformats.org/spreadsheetml/2006/main" xmlns:r="http://schemas.openxmlformats.org/officeDocument/2006/relationships">
  <sheetPr codeName="Munka62"/>
  <dimension ref="A1:E55"/>
  <sheetViews>
    <sheetView workbookViewId="0" topLeftCell="A1">
      <pane xSplit="1" ySplit="4" topLeftCell="B11" activePane="bottomRight" state="frozen"/>
      <selection pane="topLeft" activeCell="D66" sqref="D66"/>
      <selection pane="topRight" activeCell="D1" sqref="D1"/>
      <selection pane="bottomLeft" activeCell="A21" sqref="A21"/>
      <selection pane="bottomRight" activeCell="B9" sqref="B9"/>
    </sheetView>
  </sheetViews>
  <sheetFormatPr defaultColWidth="9.00390625" defaultRowHeight="12.75"/>
  <cols>
    <col min="1" max="1" width="28.875" style="1991" customWidth="1"/>
    <col min="2" max="2" width="60.00390625" style="1993" customWidth="1"/>
    <col min="3" max="3" width="15.125" style="1996" customWidth="1"/>
    <col min="4" max="4" width="15.25390625" style="2009" customWidth="1"/>
    <col min="5" max="16384" width="9.125" style="1993" customWidth="1"/>
  </cols>
  <sheetData>
    <row r="1" spans="1:5" ht="20.25">
      <c r="A1" s="1990" t="str">
        <f>IF(Általános!$B$19=Általános!$F$8,GLOBAL!B320,IF(Általános!$B$19=Általános!$F$9,GLOBAL!C320,IF(Általános!$B$19=Általános!$F$10,GLOBAL!D320)))</f>
        <v>Tartalomjegyzék</v>
      </c>
      <c r="C1" s="1998" t="str">
        <f>'Beszámoló Fedlap'!L12</f>
        <v>Komáromi Távhő Kft</v>
      </c>
      <c r="E1" s="1992"/>
    </row>
    <row r="2" ht="12.75">
      <c r="C2" s="1999" t="str">
        <f>KiegMell!A25&amp;" "&amp;Általános!B15</f>
        <v>Kiegészítő melléklet 2016. december 31.Hőszolgáltatás </v>
      </c>
    </row>
    <row r="3" ht="12.75">
      <c r="C3" s="1991"/>
    </row>
    <row r="4" spans="1:4" ht="12.75">
      <c r="A4" s="1995"/>
      <c r="C4" s="1997" t="s">
        <v>375</v>
      </c>
      <c r="D4" s="2011" t="s">
        <v>368</v>
      </c>
    </row>
    <row r="5" spans="1:4" ht="12.75">
      <c r="A5" s="2003" t="s">
        <v>649</v>
      </c>
      <c r="B5" s="2004"/>
      <c r="C5" s="2039" t="s">
        <v>369</v>
      </c>
      <c r="D5" s="2010" t="s">
        <v>369</v>
      </c>
    </row>
    <row r="6" spans="1:4" ht="12.75">
      <c r="A6" s="2003" t="s">
        <v>1139</v>
      </c>
      <c r="B6" s="2004" t="str">
        <f>KiegMell!A25</f>
        <v>Kiegészítő melléklet</v>
      </c>
      <c r="C6" s="2039"/>
      <c r="D6" s="2010" t="s">
        <v>369</v>
      </c>
    </row>
    <row r="7" spans="1:4" ht="12.75">
      <c r="A7" s="2005" t="s">
        <v>282</v>
      </c>
      <c r="B7" s="2004" t="str">
        <f>'I.A.1'!A9</f>
        <v>I.A.1. A gazdálkodó főbb adatai</v>
      </c>
      <c r="C7" s="2039"/>
      <c r="D7" s="2010" t="s">
        <v>369</v>
      </c>
    </row>
    <row r="8" spans="1:4" ht="12.75">
      <c r="A8" s="2005" t="s">
        <v>283</v>
      </c>
      <c r="B8" s="2004" t="str">
        <f>'I.A.2'!A7</f>
        <v>I.A.2 Külföldi gazdálkodásból származó</v>
      </c>
      <c r="C8" s="2039"/>
      <c r="D8" s="2010" t="s">
        <v>367</v>
      </c>
    </row>
    <row r="9" spans="1:4" ht="12.75">
      <c r="A9" s="2005" t="s">
        <v>284</v>
      </c>
      <c r="B9" s="2004" t="str">
        <f>'I.B'!A5</f>
        <v>I.B. A számviteli politika fő vonásai</v>
      </c>
      <c r="C9" s="2039"/>
      <c r="D9" s="2010" t="s">
        <v>369</v>
      </c>
    </row>
    <row r="10" spans="1:4" ht="12.75">
      <c r="A10" s="2006" t="s">
        <v>285</v>
      </c>
      <c r="B10" s="2007" t="str">
        <f>'I.C'!A5</f>
        <v>I.C Vagyoni, pénzügyi helyzet és a jövedelmezőség alakulása</v>
      </c>
      <c r="C10" s="2039"/>
      <c r="D10" s="2010" t="s">
        <v>369</v>
      </c>
    </row>
    <row r="11" spans="1:4" ht="12.75">
      <c r="A11" s="2006" t="s">
        <v>286</v>
      </c>
      <c r="B11" s="2008" t="str">
        <f>'II.A'!A13</f>
        <v>II.A.1 Tárgyévben foglalkoztatott munkavállalók</v>
      </c>
      <c r="C11" s="2039"/>
      <c r="D11" s="2010" t="s">
        <v>367</v>
      </c>
    </row>
    <row r="12" spans="1:4" ht="25.5">
      <c r="A12" s="2006"/>
      <c r="B12" s="2008" t="str">
        <f>'II.A'!A19</f>
        <v>II.A.2 Vezető tisztségviselők, az igazgatóság, a felügyelőbizottság tagjaira vonatkozó adatok </v>
      </c>
      <c r="C12" s="2039"/>
      <c r="D12" s="2010" t="s">
        <v>367</v>
      </c>
    </row>
    <row r="13" spans="1:4" ht="25.5">
      <c r="A13" s="2006"/>
      <c r="B13" s="2008" t="str">
        <f>'II.A'!A30</f>
        <v>II.A.3 Vállalkozáscsoport legnagyobb egységének összevont (konszolidált) éves beszámolóját készítője:</v>
      </c>
      <c r="C13" s="2039"/>
      <c r="D13" s="2010" t="s">
        <v>367</v>
      </c>
    </row>
    <row r="14" spans="1:4" ht="25.5">
      <c r="A14" s="2006"/>
      <c r="B14" s="2008" t="str">
        <f>'II.A'!A35</f>
        <v>II.A.4 Vállalkozáscsoport legkisebb egységének összevont (konszolidált) éves beszámolóját készítője:</v>
      </c>
      <c r="C14" s="2039"/>
      <c r="D14" s="2010" t="s">
        <v>367</v>
      </c>
    </row>
    <row r="15" spans="1:4" ht="38.25">
      <c r="A15" s="2006" t="s">
        <v>287</v>
      </c>
      <c r="B15" s="2008" t="str">
        <f>'II.B.1'!A8</f>
        <v>I.B.1. Jelentős befolyással, többségi irányítást biztosító befolyással vagy közvetlen irányítást biztosító befolyással rendelkező tag (részvényes) bemutatása</v>
      </c>
      <c r="C15" s="2039"/>
      <c r="D15" s="2010" t="s">
        <v>367</v>
      </c>
    </row>
    <row r="16" spans="1:4" ht="25.5">
      <c r="A16" s="2006" t="s">
        <v>288</v>
      </c>
      <c r="B16" s="2008" t="str">
        <f>'II.B.2'!A5</f>
        <v>I.B.2. Leányvállalat, közös vezetésű vállalat, társult vállalkozás, egyéb részesedési viszonyban lévő vállalkozás bemutatása</v>
      </c>
      <c r="C16" s="2039"/>
      <c r="D16" s="2010" t="s">
        <v>367</v>
      </c>
    </row>
    <row r="17" spans="1:4" ht="25.5">
      <c r="A17" s="2006" t="s">
        <v>289</v>
      </c>
      <c r="B17" s="2008" t="str">
        <f>'II.B.3'!A5</f>
        <v>II.B.3 Kapcsolt vállalkozásokkal szembeni követelések, kötelezettségek, bevételek</v>
      </c>
      <c r="C17" s="2039"/>
      <c r="D17" s="2010" t="s">
        <v>367</v>
      </c>
    </row>
    <row r="18" spans="1:4" ht="51">
      <c r="A18" s="2006" t="s">
        <v>290</v>
      </c>
      <c r="B18" s="2008" t="str">
        <f>'II.B.4'!A5</f>
        <v>I.B.4. Olyan részvény, üzletrész névértékének bemutatása, amelyet maga az anyavállalat, leányvállalata vagy olyan harmadik személy birtokol, aki a tulajdonosi jogokat saját nevében, de ezen vállalatok javára gyakorolja</v>
      </c>
      <c r="C18" s="2039"/>
      <c r="D18" s="2010" t="s">
        <v>367</v>
      </c>
    </row>
    <row r="19" spans="1:4" ht="12.75">
      <c r="A19" s="2006" t="s">
        <v>291</v>
      </c>
      <c r="B19" s="2004" t="str">
        <f>'II.B.5'!A6</f>
        <v>II.B.5 Kapcsolt vállalkozásokkal szemben képzett céltartalék</v>
      </c>
      <c r="C19" s="2039"/>
      <c r="D19" s="2010" t="s">
        <v>367</v>
      </c>
    </row>
    <row r="20" spans="1:4" ht="12.75">
      <c r="A20" s="2006" t="s">
        <v>292</v>
      </c>
      <c r="B20" s="2004" t="str">
        <f>'II.C'!A5</f>
        <v>II.C Adózott eredmény levezetése</v>
      </c>
      <c r="C20" s="2039"/>
      <c r="D20" s="2010" t="s">
        <v>367</v>
      </c>
    </row>
    <row r="21" spans="1:4" ht="12.75">
      <c r="A21" s="2006" t="s">
        <v>293</v>
      </c>
      <c r="B21" s="2004" t="str">
        <f>'II.D'!A5</f>
        <v>II.D Cash Flow Kimutatás</v>
      </c>
      <c r="C21" s="2039"/>
      <c r="D21" s="2010" t="s">
        <v>367</v>
      </c>
    </row>
    <row r="22" spans="1:4" ht="12.75">
      <c r="A22" s="2006" t="s">
        <v>294</v>
      </c>
      <c r="B22" s="2004" t="str">
        <f>'II.E.1'!A8</f>
        <v> II.E.1 A környezet védelmét közvetlenül szolgáló tárgyi eszközök adatai</v>
      </c>
      <c r="C22" s="2039"/>
      <c r="D22" s="2010" t="s">
        <v>367</v>
      </c>
    </row>
    <row r="23" spans="1:4" ht="12.75">
      <c r="A23" s="2006" t="s">
        <v>295</v>
      </c>
      <c r="B23" s="2004" t="str">
        <f>'II.E.2'!A7</f>
        <v>II.E.2 Veszélyes hulladékok, környezetre káros anyagok</v>
      </c>
      <c r="C23" s="2039"/>
      <c r="D23" s="2010" t="s">
        <v>367</v>
      </c>
    </row>
    <row r="24" spans="1:4" ht="12.75">
      <c r="A24" s="2006"/>
      <c r="B24" s="2004" t="str">
        <f>'II.E.2'!A18</f>
        <v>II.E.3 Környezetvédelemmel kapcsolatos költségek</v>
      </c>
      <c r="C24" s="2039"/>
      <c r="D24" s="2010" t="s">
        <v>367</v>
      </c>
    </row>
    <row r="25" spans="1:4" ht="38.25">
      <c r="A25" s="2006" t="s">
        <v>296</v>
      </c>
      <c r="B25" s="2008" t="str">
        <f>'II.F'!A8</f>
        <v>II.F.1 Azon kötelezettségek összege, amelyek a pénzügyi helyzet értékelése szempontjából jelentőséggel bírnak, és a mérlegben nem jelennek meg (Függő kötelezettségek, jövőbeni kötelezettségek).</v>
      </c>
      <c r="C25" s="2039"/>
      <c r="D25" s="2010" t="s">
        <v>367</v>
      </c>
    </row>
    <row r="26" spans="1:4" ht="12.75">
      <c r="A26" s="2006"/>
      <c r="B26" s="2004" t="str">
        <f>'II.F'!A17</f>
        <v>II.F.2  Mérlegen kívüli egyéb tételek</v>
      </c>
      <c r="C26" s="2039"/>
      <c r="D26" s="2010" t="s">
        <v>367</v>
      </c>
    </row>
    <row r="27" spans="1:4" ht="12.75">
      <c r="A27" s="2006"/>
      <c r="B27" s="2004" t="str">
        <f>'II.F'!A24</f>
        <v>II.F.3 Zálogjoggal vagy hasonló jogokkal biztosított kötelezettségek</v>
      </c>
      <c r="C27" s="2039"/>
      <c r="D27" s="2010" t="s">
        <v>367</v>
      </c>
    </row>
    <row r="28" spans="1:4" ht="25.5">
      <c r="A28" s="2006"/>
      <c r="B28" s="2008" t="str">
        <f>'II.F'!A30</f>
        <v>II.F.4 Mérlegen kívüli függő kötelezettségek le nem zárt határidős, opciós vagy swap ügyletekből</v>
      </c>
      <c r="C28" s="2039"/>
      <c r="D28" s="2010" t="s">
        <v>367</v>
      </c>
    </row>
    <row r="29" spans="1:4" ht="38.25">
      <c r="A29" s="2006" t="s">
        <v>297</v>
      </c>
      <c r="B29" s="2008" t="str">
        <f>'III.A.I-II'!A7</f>
        <v>III.A.I-II Immateriális javak, tárgyi eszközök bruttó érték változásának, halmozott értékcsökkenésének, és a tárgyévi értékcsökkenési leírás és a terven felüli értékcsökkenés bemutatása</v>
      </c>
      <c r="C29" s="2039"/>
      <c r="D29" s="2010" t="s">
        <v>367</v>
      </c>
    </row>
    <row r="30" spans="1:4" ht="12.75">
      <c r="A30" s="2006" t="s">
        <v>1676</v>
      </c>
      <c r="B30" s="2004" t="str">
        <f>'III.B.II'!A6</f>
        <v>III.B.II Követelések</v>
      </c>
      <c r="C30" s="2039"/>
      <c r="D30" s="2010" t="s">
        <v>369</v>
      </c>
    </row>
    <row r="31" spans="1:4" ht="12.75">
      <c r="A31" s="2006" t="s">
        <v>427</v>
      </c>
      <c r="B31" s="2004" t="str">
        <f>'III.B.III.1'!A8</f>
        <v>III.B.III.1 Visszavásárolt saját részvények (üzletrészek) adatai</v>
      </c>
      <c r="C31" s="2039"/>
      <c r="D31" s="2010" t="s">
        <v>367</v>
      </c>
    </row>
    <row r="32" spans="1:4" ht="12.75">
      <c r="A32" s="2006" t="s">
        <v>428</v>
      </c>
      <c r="B32" s="2004" t="str">
        <f>'III.B.III.2'!A8</f>
        <v>III.B.III.2 Átváltoztatható kötvényekkel kapcsolatos adatok</v>
      </c>
      <c r="C32" s="2039"/>
      <c r="D32" s="2010" t="s">
        <v>367</v>
      </c>
    </row>
    <row r="33" spans="1:4" ht="12.75">
      <c r="A33" s="2006" t="s">
        <v>1677</v>
      </c>
      <c r="B33" s="2004" t="str">
        <f>'III.C'!A6</f>
        <v>III.C Aktív időbeli elhatárolások</v>
      </c>
      <c r="C33" s="2039"/>
      <c r="D33" s="2010" t="s">
        <v>367</v>
      </c>
    </row>
    <row r="34" spans="1:4" ht="12.75">
      <c r="A34" s="2006" t="s">
        <v>1275</v>
      </c>
      <c r="B34" s="2004" t="str">
        <f>'III.D.1'!A8</f>
        <v>III.D. 1 Saját tőke változása az üzlet éven belül</v>
      </c>
      <c r="C34" s="2039"/>
      <c r="D34" s="2010" t="s">
        <v>369</v>
      </c>
    </row>
    <row r="35" spans="1:4" ht="12.75">
      <c r="A35" s="2006" t="s">
        <v>1276</v>
      </c>
      <c r="B35" s="2004" t="str">
        <f>'III.D.2'!A8</f>
        <v>III.D. 2 Kibocsátott értékpapírok</v>
      </c>
      <c r="C35" s="2039"/>
      <c r="D35" s="2010" t="s">
        <v>369</v>
      </c>
    </row>
    <row r="36" spans="1:4" ht="12.75">
      <c r="A36" s="2006" t="s">
        <v>1277</v>
      </c>
      <c r="B36" s="2004" t="str">
        <f>'III.D.3'!A8</f>
        <v>III.D.3 Értékhelyesbítések</v>
      </c>
      <c r="C36" s="2039"/>
      <c r="D36" s="2010" t="s">
        <v>369</v>
      </c>
    </row>
    <row r="37" spans="1:4" ht="12.75">
      <c r="A37" s="2006" t="s">
        <v>1678</v>
      </c>
      <c r="B37" s="2004" t="str">
        <f>'III.F'!A6</f>
        <v>III.F Kötelezettségek</v>
      </c>
      <c r="C37" s="2039"/>
      <c r="D37" s="2010" t="s">
        <v>369</v>
      </c>
    </row>
    <row r="38" spans="1:4" ht="12.75">
      <c r="A38" s="2006" t="s">
        <v>1492</v>
      </c>
      <c r="B38" s="2004" t="str">
        <f>'III.G'!A6</f>
        <v>III.G Passzív időbeli elhatárolás</v>
      </c>
      <c r="C38" s="2039"/>
      <c r="D38" s="2010" t="s">
        <v>367</v>
      </c>
    </row>
    <row r="39" spans="1:4" ht="12.75">
      <c r="A39" s="2006" t="s">
        <v>1493</v>
      </c>
      <c r="B39" s="2004" t="str">
        <f>'III.H.I'!A8</f>
        <v>III.H.I.1 A kutatás, kísérleti fejlesztés tárgyévi költségeinek ismertetése</v>
      </c>
      <c r="C39" s="2039"/>
      <c r="D39" s="2010" t="s">
        <v>369</v>
      </c>
    </row>
    <row r="40" spans="1:4" ht="12.75">
      <c r="A40" s="2006"/>
      <c r="B40" s="2004" t="str">
        <f>'III.H.I'!A19</f>
        <v>III.H.I.2 Rendkívüli bevételek és ráfordítások részletezése</v>
      </c>
      <c r="C40" s="2039"/>
      <c r="D40" s="2010" t="s">
        <v>367</v>
      </c>
    </row>
    <row r="41" spans="1:4" ht="25.5">
      <c r="A41" s="2006"/>
      <c r="B41" s="2008" t="str">
        <f>'III.H.I'!A36</f>
        <v>III.H.I.3 Jelentős hatások részletezése (Rendkívüli esemény/Értékesítés nettó árbevétele &gt;0,2)</v>
      </c>
      <c r="C41" s="2039"/>
      <c r="D41" s="2010" t="s">
        <v>367</v>
      </c>
    </row>
    <row r="42" spans="1:4" ht="25.5">
      <c r="A42" s="2006" t="s">
        <v>1278</v>
      </c>
      <c r="B42" s="2008" t="str">
        <f>'III.H.II'!A8</f>
        <v>III.H.II.1 Az értékesítés nettó árbevétele a létesítő okiratban megjelölt főbb tevékenységenként</v>
      </c>
      <c r="C42" s="2039"/>
      <c r="D42" s="2010" t="s">
        <v>367</v>
      </c>
    </row>
    <row r="43" spans="1:4" ht="12.75">
      <c r="A43" s="2006"/>
      <c r="B43" s="2004" t="str">
        <f>'III.H.II'!A20</f>
        <v>III.H.II.2 A termékexport árbevétele </v>
      </c>
      <c r="C43" s="2039"/>
      <c r="D43" s="2010" t="s">
        <v>367</v>
      </c>
    </row>
    <row r="44" spans="1:4" ht="12.75">
      <c r="A44" s="2006"/>
      <c r="B44" s="2004" t="str">
        <f>'III.H.II'!A32</f>
        <v>III.H.II.3 A szolgáltatásexport árbevétele</v>
      </c>
      <c r="C44" s="2039"/>
      <c r="D44" s="2010" t="s">
        <v>367</v>
      </c>
    </row>
    <row r="45" spans="1:4" ht="12.75">
      <c r="A45" s="2006"/>
      <c r="B45" s="2004" t="str">
        <f>'III.H.II'!A44</f>
        <v>III.H.II.4 A termékimport értéke </v>
      </c>
      <c r="C45" s="2039"/>
      <c r="D45" s="2010" t="s">
        <v>367</v>
      </c>
    </row>
    <row r="46" spans="1:4" ht="12.75">
      <c r="A46" s="2006"/>
      <c r="B46" s="2004" t="str">
        <f>'III.H.II'!A56</f>
        <v>III.H.II.5 A szolgáltatásimport értéke</v>
      </c>
      <c r="C46" s="2039"/>
      <c r="D46" s="2010" t="s">
        <v>367</v>
      </c>
    </row>
    <row r="47" spans="1:4" ht="12.75">
      <c r="A47" s="2006" t="s">
        <v>1279</v>
      </c>
      <c r="B47" s="2004" t="str">
        <f>'III.H.III'!A7</f>
        <v>III.H.III Értékvesztések</v>
      </c>
      <c r="C47" s="2039"/>
      <c r="D47" s="2010" t="s">
        <v>367</v>
      </c>
    </row>
    <row r="48" spans="1:4" ht="12.75">
      <c r="A48" s="2006" t="s">
        <v>1280</v>
      </c>
      <c r="B48" s="2004" t="str">
        <f>'III.H.IV'!A7</f>
        <v>III.H.IV.1 Exporttámogatáshoz kapcsolódó közvetlen költségek</v>
      </c>
      <c r="C48" s="2039"/>
      <c r="D48" s="2010" t="s">
        <v>367</v>
      </c>
    </row>
    <row r="49" spans="1:4" ht="25.5">
      <c r="A49" s="2006"/>
      <c r="B49" s="2008" t="str">
        <f>'III.H.IV'!A17</f>
        <v>III.H.IV.2 Támogatási program keretében kapott , illetve elszámolt összegek</v>
      </c>
      <c r="C49" s="2039"/>
      <c r="D49" s="2010" t="s">
        <v>367</v>
      </c>
    </row>
    <row r="50" spans="1:4" ht="24.75" customHeight="1">
      <c r="A50" s="2006"/>
      <c r="B50" s="2008" t="str">
        <f>'III.H.IV'!A28</f>
        <v>III.H.IV.3 Támogatási program keretében kapott, visszatérítendő, kötelezettségként kimutatott támogatások</v>
      </c>
      <c r="C50" s="2039"/>
      <c r="D50" s="2010" t="s">
        <v>367</v>
      </c>
    </row>
    <row r="51" spans="1:4" ht="25.5">
      <c r="A51" s="2006" t="s">
        <v>1281</v>
      </c>
      <c r="B51" s="2008" t="str">
        <f>'III.H.V'!A8</f>
        <v>III.H.V.1. Az aktivált saját teljesítmények értékének részletezése (forgalmi költség eljárás esetén)</v>
      </c>
      <c r="C51" s="2039"/>
      <c r="D51" s="2010" t="s">
        <v>367</v>
      </c>
    </row>
    <row r="52" spans="1:4" ht="25.5">
      <c r="A52" s="2006"/>
      <c r="B52" s="2008" t="str">
        <f>'III.H.V'!A18</f>
        <v>III.H.V.2.  A költségek költségnemenkénti megbontása (forgalmi költség eljárás esetén)</v>
      </c>
      <c r="C52" s="2039"/>
      <c r="D52" s="2010" t="s">
        <v>367</v>
      </c>
    </row>
    <row r="53" spans="1:4" ht="38.25">
      <c r="A53" s="2006" t="s">
        <v>1282</v>
      </c>
      <c r="B53" s="2008" t="str">
        <f>'III.H.VI'!A8</f>
        <v>III.H.VI.1. A tárgyévben lezárt határidős, opciós ügyletek, valamint swap ügyletek eredménye és cash-flowra gyakorolt hatásai  tőzsdén, illetve tőzsdén kívül kötött ügylet részletezésben</v>
      </c>
      <c r="C53" s="2039"/>
      <c r="D53" s="2010" t="s">
        <v>367</v>
      </c>
    </row>
    <row r="54" ht="12.75">
      <c r="A54" s="1994"/>
    </row>
    <row r="55" ht="12.75">
      <c r="A55" s="1994"/>
    </row>
  </sheetData>
  <sheetProtection/>
  <autoFilter ref="D5:D53"/>
  <printOptions horizontalCentered="1"/>
  <pageMargins left="0.61" right="0.61" top="0.59" bottom="0.59" header="0.38" footer="0.39"/>
  <pageSetup horizontalDpi="120" verticalDpi="120" orientation="portrait" paperSize="9" scale="80" r:id="rId1"/>
</worksheet>
</file>

<file path=xl/worksheets/sheet12.xml><?xml version="1.0" encoding="utf-8"?>
<worksheet xmlns="http://schemas.openxmlformats.org/spreadsheetml/2006/main" xmlns:r="http://schemas.openxmlformats.org/officeDocument/2006/relationships">
  <sheetPr codeName="Munka2"/>
  <dimension ref="A1:T42"/>
  <sheetViews>
    <sheetView workbookViewId="0" topLeftCell="A1">
      <selection activeCell="E36" sqref="E36:I36"/>
    </sheetView>
  </sheetViews>
  <sheetFormatPr defaultColWidth="9.00390625" defaultRowHeight="12.75"/>
  <cols>
    <col min="1" max="6" width="4.75390625" style="1042" customWidth="1"/>
    <col min="7" max="7" width="10.125" style="1042" customWidth="1"/>
    <col min="8" max="17" width="4.75390625" style="1042" customWidth="1"/>
    <col min="18" max="18" width="4.125" style="1042" customWidth="1"/>
    <col min="19" max="19" width="9.125" style="1042" customWidth="1"/>
    <col min="20" max="20" width="9.75390625" style="1042" customWidth="1"/>
    <col min="21" max="16384" width="9.125" style="1042" customWidth="1"/>
  </cols>
  <sheetData>
    <row r="1" spans="1:18" ht="12.75">
      <c r="A1" s="1027" t="str">
        <f>EgyszÉvesMérleg"A"!B4</f>
        <v>Komáromi Távhő Kft</v>
      </c>
      <c r="R1" s="1031" t="str">
        <f>KiegMell!A25&amp;" "&amp;IF(Általános!B19=Általános!F8,KiegMell!A27,KiegMell!A29)</f>
        <v>Kiegészítő melléklet 2016. december 31.Hőszolgáltatás </v>
      </c>
    </row>
    <row r="2" spans="1:18" ht="12.75">
      <c r="A2" s="1027"/>
      <c r="R2" s="1031" t="str">
        <f>A5</f>
        <v>I. Általános kiegészítések</v>
      </c>
    </row>
    <row r="3" spans="1:18" ht="12.75">
      <c r="A3" s="1449" t="str">
        <f>'Beszámoló Fedlap'!A32</f>
        <v>A közzétett adatokat könyvvizsgáló ellenőrizte</v>
      </c>
      <c r="B3" s="1450"/>
      <c r="C3" s="1450"/>
      <c r="D3" s="1450"/>
      <c r="E3" s="1450"/>
      <c r="F3" s="1450"/>
      <c r="G3" s="1450"/>
      <c r="H3" s="1451"/>
      <c r="I3" s="1451"/>
      <c r="J3" s="1451"/>
      <c r="K3" s="1452"/>
      <c r="L3" s="1452"/>
      <c r="M3" s="1452"/>
      <c r="N3" s="1452"/>
      <c r="O3" s="1452"/>
      <c r="P3" s="1452"/>
      <c r="Q3" s="1452"/>
      <c r="R3" s="1452"/>
    </row>
    <row r="4" spans="1:10" ht="12.75">
      <c r="A4" s="1449"/>
      <c r="B4" s="1450"/>
      <c r="C4" s="1450"/>
      <c r="D4" s="1450"/>
      <c r="E4" s="1450"/>
      <c r="F4" s="1450"/>
      <c r="G4" s="1450"/>
      <c r="H4" s="1451"/>
      <c r="I4" s="1451"/>
      <c r="J4" s="1451"/>
    </row>
    <row r="5" spans="1:18" ht="18">
      <c r="A5" s="1453" t="s">
        <v>1543</v>
      </c>
      <c r="B5" s="1454"/>
      <c r="C5" s="1454"/>
      <c r="D5" s="1454"/>
      <c r="E5" s="1454"/>
      <c r="F5" s="1454"/>
      <c r="G5" s="1454"/>
      <c r="H5" s="1455"/>
      <c r="I5" s="1455"/>
      <c r="J5" s="1455"/>
      <c r="K5" s="1452"/>
      <c r="L5" s="1452"/>
      <c r="M5" s="1452"/>
      <c r="N5" s="1452"/>
      <c r="O5" s="1452"/>
      <c r="P5" s="1452"/>
      <c r="Q5" s="1452"/>
      <c r="R5" s="1452"/>
    </row>
    <row r="6" spans="1:10" ht="16.5">
      <c r="A6" s="1456"/>
      <c r="B6" s="1452"/>
      <c r="C6" s="1452"/>
      <c r="D6" s="1452"/>
      <c r="E6" s="1452"/>
      <c r="F6" s="1452"/>
      <c r="G6" s="1452"/>
      <c r="H6" s="1457"/>
      <c r="I6" s="1457"/>
      <c r="J6" s="1457"/>
    </row>
    <row r="7" spans="1:18" ht="16.5">
      <c r="A7" s="1458" t="s">
        <v>833</v>
      </c>
      <c r="B7" s="1459"/>
      <c r="C7" s="1452"/>
      <c r="D7" s="1452"/>
      <c r="E7" s="1452"/>
      <c r="F7" s="1452"/>
      <c r="G7" s="1452"/>
      <c r="H7" s="1452"/>
      <c r="I7" s="1452"/>
      <c r="J7" s="1452"/>
      <c r="K7" s="1452"/>
      <c r="L7" s="1452"/>
      <c r="M7" s="1452"/>
      <c r="N7" s="1452"/>
      <c r="O7" s="1452"/>
      <c r="P7" s="1452"/>
      <c r="Q7" s="1452"/>
      <c r="R7" s="1452"/>
    </row>
    <row r="9" ht="15">
      <c r="A9" s="1460" t="s">
        <v>365</v>
      </c>
    </row>
    <row r="10" spans="1:10" ht="13.5" thickBot="1">
      <c r="A10" s="1461"/>
      <c r="B10" s="1461"/>
      <c r="C10" s="1461"/>
      <c r="D10" s="1461"/>
      <c r="E10" s="1461"/>
      <c r="F10" s="1461"/>
      <c r="G10" s="1461"/>
      <c r="H10" s="1461"/>
      <c r="I10" s="1461"/>
      <c r="J10" s="1461"/>
    </row>
    <row r="11" spans="1:18" ht="24.75" customHeight="1">
      <c r="A11" s="2138" t="s">
        <v>1729</v>
      </c>
      <c r="B11" s="2139"/>
      <c r="C11" s="2139"/>
      <c r="D11" s="2139"/>
      <c r="E11" s="2139"/>
      <c r="F11" s="2139"/>
      <c r="G11" s="2139"/>
      <c r="H11" s="2136" t="str">
        <f>KiegMell!L14</f>
        <v>2900 Komárom, Csokonai út 2.</v>
      </c>
      <c r="I11" s="2135"/>
      <c r="J11" s="2135"/>
      <c r="K11" s="2135"/>
      <c r="L11" s="2135"/>
      <c r="M11" s="2135"/>
      <c r="N11" s="2135"/>
      <c r="O11" s="2135"/>
      <c r="P11" s="2135"/>
      <c r="Q11" s="2135"/>
      <c r="R11" s="2133"/>
    </row>
    <row r="12" spans="1:20" ht="24.75" customHeight="1">
      <c r="A12" s="2144" t="s">
        <v>1730</v>
      </c>
      <c r="B12" s="2145"/>
      <c r="C12" s="2145"/>
      <c r="D12" s="2145"/>
      <c r="E12" s="2145"/>
      <c r="F12" s="2145"/>
      <c r="G12" s="2145"/>
      <c r="H12" s="2142"/>
      <c r="I12" s="2142"/>
      <c r="J12" s="2142"/>
      <c r="K12" s="2142"/>
      <c r="L12" s="2142"/>
      <c r="M12" s="2142"/>
      <c r="N12" s="2142"/>
      <c r="O12" s="2142"/>
      <c r="P12" s="2142"/>
      <c r="Q12" s="2142"/>
      <c r="R12" s="2143"/>
      <c r="T12" s="1462" t="s">
        <v>1631</v>
      </c>
    </row>
    <row r="13" spans="1:20" ht="24.75" customHeight="1">
      <c r="A13" s="2144" t="s">
        <v>1731</v>
      </c>
      <c r="B13" s="2145"/>
      <c r="C13" s="2145"/>
      <c r="D13" s="2145"/>
      <c r="E13" s="2145"/>
      <c r="F13" s="2145"/>
      <c r="G13" s="2145"/>
      <c r="H13" s="2152" t="str">
        <f>RIGHT(A1,4)</f>
        <v> Kft</v>
      </c>
      <c r="I13" s="2152"/>
      <c r="J13" s="2152"/>
      <c r="K13" s="2152"/>
      <c r="L13" s="2152"/>
      <c r="M13" s="2152"/>
      <c r="N13" s="2152"/>
      <c r="O13" s="2152"/>
      <c r="P13" s="2152"/>
      <c r="Q13" s="2152"/>
      <c r="R13" s="2153"/>
      <c r="T13" s="1462" t="s">
        <v>1630</v>
      </c>
    </row>
    <row r="14" spans="1:20" ht="24.75" customHeight="1">
      <c r="A14" s="2144" t="s">
        <v>1732</v>
      </c>
      <c r="B14" s="2145"/>
      <c r="C14" s="2145"/>
      <c r="D14" s="2145"/>
      <c r="E14" s="2145"/>
      <c r="F14" s="2145"/>
      <c r="G14" s="2145"/>
      <c r="H14" s="2142"/>
      <c r="I14" s="2142"/>
      <c r="J14" s="2142"/>
      <c r="K14" s="2142"/>
      <c r="L14" s="2142"/>
      <c r="M14" s="2142"/>
      <c r="N14" s="2142"/>
      <c r="O14" s="2142"/>
      <c r="P14" s="2142"/>
      <c r="Q14" s="2142"/>
      <c r="R14" s="2143"/>
      <c r="T14" s="1462"/>
    </row>
    <row r="15" spans="1:18" ht="24.75" customHeight="1">
      <c r="A15" s="2144" t="s">
        <v>1553</v>
      </c>
      <c r="B15" s="2145"/>
      <c r="C15" s="2145"/>
      <c r="D15" s="2145"/>
      <c r="E15" s="2145"/>
      <c r="F15" s="2145"/>
      <c r="G15" s="2145"/>
      <c r="H15" s="2152" t="str">
        <f>Általános!B16</f>
        <v>Igen</v>
      </c>
      <c r="I15" s="2152"/>
      <c r="J15" s="2152"/>
      <c r="K15" s="2152"/>
      <c r="L15" s="2152"/>
      <c r="M15" s="2152"/>
      <c r="N15" s="2152"/>
      <c r="O15" s="2152"/>
      <c r="P15" s="2152"/>
      <c r="Q15" s="2152"/>
      <c r="R15" s="2153"/>
    </row>
    <row r="16" spans="1:18" ht="24.75" customHeight="1">
      <c r="A16" s="2144" t="s">
        <v>1734</v>
      </c>
      <c r="B16" s="2145"/>
      <c r="C16" s="2145"/>
      <c r="D16" s="2145"/>
      <c r="E16" s="2145"/>
      <c r="F16" s="2145"/>
      <c r="G16" s="2145"/>
      <c r="H16" s="2142"/>
      <c r="I16" s="2142"/>
      <c r="J16" s="2142"/>
      <c r="K16" s="2142"/>
      <c r="L16" s="2142"/>
      <c r="M16" s="2142"/>
      <c r="N16" s="2142"/>
      <c r="O16" s="2142"/>
      <c r="P16" s="2142"/>
      <c r="Q16" s="2142"/>
      <c r="R16" s="2143"/>
    </row>
    <row r="17" spans="1:18" ht="24.75" customHeight="1">
      <c r="A17" s="729" t="str">
        <f>IF(Általános!$B$19=Általános!$F$8,GLOBAL!B199,IF(Általános!$B$19=Általános!$F$9,GLOBAL!C199,IF(Általános!$B$19=Általános!$F$10,GLOBAL!D199)))</f>
        <v>A beszámoló formája</v>
      </c>
      <c r="B17" s="727"/>
      <c r="C17" s="727"/>
      <c r="D17" s="727"/>
      <c r="E17" s="727"/>
      <c r="F17" s="727"/>
      <c r="G17" s="728"/>
      <c r="H17" s="1463" t="str">
        <f>IF(Általános!B19=Általános!F8,Általános!B17,Általános!C17)</f>
        <v>Egyszerűsített éves beszámoló</v>
      </c>
      <c r="I17" s="1463"/>
      <c r="J17" s="1463"/>
      <c r="K17" s="1463"/>
      <c r="L17" s="1463"/>
      <c r="M17" s="1463"/>
      <c r="N17" s="1463"/>
      <c r="O17" s="1463"/>
      <c r="P17" s="1463"/>
      <c r="Q17" s="1463"/>
      <c r="R17" s="1464"/>
    </row>
    <row r="18" spans="1:18" ht="24.75" customHeight="1">
      <c r="A18" s="729" t="str">
        <f>IF(Általános!$B$19=Általános!$F$8,GLOBAL!B200,IF(Általános!$B$19=Általános!$F$9,GLOBAL!C200,IF(Általános!$B$19=Általános!$F$10,GLOBAL!D200)))</f>
        <v>A mérleg változata</v>
      </c>
      <c r="B18" s="727"/>
      <c r="C18" s="727"/>
      <c r="D18" s="727"/>
      <c r="E18" s="727"/>
      <c r="F18" s="727"/>
      <c r="G18" s="728"/>
      <c r="H18" s="1463" t="str">
        <f>IF(Általános!$B$19=Általános!$F$8,GLOBAL!B125,IF(Általános!$B$19=Általános!$F$9,GLOBAL!C125,IF(Általános!$B$19=Általános!$F$10,GLOBAL!D125)))</f>
        <v>"A" változat</v>
      </c>
      <c r="I18" s="1463"/>
      <c r="J18" s="1463"/>
      <c r="K18" s="1463"/>
      <c r="L18" s="1463"/>
      <c r="M18" s="1463"/>
      <c r="N18" s="1463"/>
      <c r="O18" s="1463"/>
      <c r="P18" s="1463"/>
      <c r="Q18" s="1463"/>
      <c r="R18" s="1464"/>
    </row>
    <row r="19" spans="1:18" ht="24.75" customHeight="1">
      <c r="A19" s="729" t="str">
        <f>IF(Általános!$B$19=Általános!$F$8,GLOBAL!B201,IF(Általános!$B$19=Általános!$F$9,GLOBAL!C201,IF(Általános!$B$19=Általános!$F$10,GLOBAL!D201)))</f>
        <v>Az eredménykimutatás formája</v>
      </c>
      <c r="B19" s="727"/>
      <c r="C19" s="727"/>
      <c r="D19" s="727"/>
      <c r="E19" s="727"/>
      <c r="F19" s="727"/>
      <c r="G19" s="728"/>
      <c r="H19" s="1463" t="str">
        <f>IF(AND(Általános!B18=Általános!I5,Általános!B19=Általános!F8),GLOBAL!B124,IF(AND(Általános!B18=Általános!I6,Általános!B19=Általános!F8),GLOBAL!B176,IF(AND(Általános!B18=Általános!I5,Általános!B19=Általános!F9),GLOBAL!C124,IF(AND(Általános!B18=Általános!I6,Általános!B19=Általános!F9),GLOBAL!C176,IF(AND(Általános!B18=Általános!I5,Általános!B19=Általános!F10),GLOBAL!D124,IF(AND(Általános!B18=Általános!I6,Általános!B19=Általános!F10),GLOBAL!D176))))))</f>
        <v>Összköltség eljárással készített eredménykimutatás</v>
      </c>
      <c r="I19" s="1463"/>
      <c r="J19" s="1463"/>
      <c r="K19" s="1463"/>
      <c r="L19" s="1463"/>
      <c r="M19" s="1463"/>
      <c r="N19" s="1463"/>
      <c r="O19" s="1463"/>
      <c r="P19" s="1463"/>
      <c r="Q19" s="1463"/>
      <c r="R19" s="1464"/>
    </row>
    <row r="20" spans="1:18" ht="24.75" customHeight="1">
      <c r="A20" s="729" t="str">
        <f>IF(Általános!$B$19=Általános!$F$8,GLOBAL!B202,IF(Általános!$B$19=Általános!$F$9,GLOBAL!C202,IF(Általános!$B$19=Általános!$F$10,GLOBAL!D202)))</f>
        <v>Az eredménykimutatás változata</v>
      </c>
      <c r="B20" s="727"/>
      <c r="C20" s="727"/>
      <c r="D20" s="727"/>
      <c r="E20" s="727"/>
      <c r="F20" s="727"/>
      <c r="G20" s="728"/>
      <c r="H20" s="1463" t="str">
        <f>H18</f>
        <v>"A" változat</v>
      </c>
      <c r="I20" s="1463"/>
      <c r="J20" s="1463"/>
      <c r="K20" s="1463"/>
      <c r="L20" s="1463"/>
      <c r="M20" s="1463"/>
      <c r="N20" s="1463"/>
      <c r="O20" s="1463"/>
      <c r="P20" s="1463"/>
      <c r="Q20" s="1463"/>
      <c r="R20" s="1464"/>
    </row>
    <row r="21" spans="1:18" ht="24.75" customHeight="1">
      <c r="A21" s="729" t="str">
        <f>IF(Általános!$B$19=Általános!$F$8,GLOBAL!B203,IF(Általános!$B$19=Általános!$F$9,GLOBAL!C203,IF(Általános!$B$19=Általános!$F$10,GLOBAL!D203)))</f>
        <v>A mérlegkészítés időpontja</v>
      </c>
      <c r="B21" s="727"/>
      <c r="C21" s="727"/>
      <c r="D21" s="727"/>
      <c r="E21" s="727"/>
      <c r="F21" s="727"/>
      <c r="G21" s="728"/>
      <c r="H21" s="1463" t="str">
        <f>IF(Általános!$B$19=Általános!$F$8,Általános!B12,Általános!C12)</f>
        <v>2016.december 31. Hőszolg.</v>
      </c>
      <c r="I21" s="1463"/>
      <c r="J21" s="1463"/>
      <c r="K21" s="1463"/>
      <c r="L21" s="1463"/>
      <c r="M21" s="1463"/>
      <c r="N21" s="1463"/>
      <c r="O21" s="1463"/>
      <c r="P21" s="1463"/>
      <c r="Q21" s="1463"/>
      <c r="R21" s="1464"/>
    </row>
    <row r="22" spans="1:18" ht="24.75" customHeight="1" thickBot="1">
      <c r="A22" s="1077" t="s">
        <v>1629</v>
      </c>
      <c r="B22" s="1078"/>
      <c r="C22" s="1078"/>
      <c r="D22" s="1078"/>
      <c r="E22" s="1078"/>
      <c r="F22" s="1078"/>
      <c r="G22" s="1079"/>
      <c r="H22" s="2146" t="s">
        <v>1631</v>
      </c>
      <c r="I22" s="2147"/>
      <c r="J22" s="2147"/>
      <c r="K22" s="2147"/>
      <c r="L22" s="2147"/>
      <c r="M22" s="2147"/>
      <c r="N22" s="2147"/>
      <c r="O22" s="2147"/>
      <c r="P22" s="2147"/>
      <c r="Q22" s="2147"/>
      <c r="R22" s="2148"/>
    </row>
    <row r="23" spans="8:18" ht="12.75">
      <c r="H23" s="1465"/>
      <c r="I23" s="1465"/>
      <c r="J23" s="1465"/>
      <c r="K23" s="1465"/>
      <c r="L23" s="1465"/>
      <c r="M23" s="1465"/>
      <c r="N23" s="1465"/>
      <c r="O23" s="1465"/>
      <c r="P23" s="1465"/>
      <c r="Q23" s="1465"/>
      <c r="R23" s="1465"/>
    </row>
    <row r="24" spans="1:18" ht="12.75" customHeight="1" thickBot="1">
      <c r="A24" s="1466" t="s">
        <v>1733</v>
      </c>
      <c r="B24" s="1467"/>
      <c r="C24" s="1467"/>
      <c r="D24" s="1467"/>
      <c r="E24" s="1467"/>
      <c r="F24" s="1467"/>
      <c r="G24" s="1467"/>
      <c r="H24" s="1468"/>
      <c r="I24" s="1468"/>
      <c r="J24" s="1468"/>
      <c r="K24" s="1468"/>
      <c r="L24" s="1468"/>
      <c r="M24" s="1468"/>
      <c r="N24" s="1468"/>
      <c r="O24" s="1468"/>
      <c r="P24" s="1468"/>
      <c r="Q24" s="1468"/>
      <c r="R24" s="1468"/>
    </row>
    <row r="25" spans="1:18" ht="24.75" customHeight="1">
      <c r="A25" s="2154" t="s">
        <v>853</v>
      </c>
      <c r="B25" s="2155"/>
      <c r="C25" s="2155"/>
      <c r="D25" s="2155"/>
      <c r="E25" s="2155"/>
      <c r="F25" s="2155"/>
      <c r="G25" s="2156"/>
      <c r="H25" s="2163" t="str">
        <f>Általános!B20</f>
        <v>Billig Károlyné</v>
      </c>
      <c r="I25" s="2164"/>
      <c r="J25" s="2164"/>
      <c r="K25" s="2164"/>
      <c r="L25" s="2164"/>
      <c r="M25" s="2164"/>
      <c r="N25" s="2164"/>
      <c r="O25" s="2164"/>
      <c r="P25" s="2164"/>
      <c r="Q25" s="2164"/>
      <c r="R25" s="2165"/>
    </row>
    <row r="26" spans="1:18" ht="24.75" customHeight="1">
      <c r="A26" s="2157" t="s">
        <v>1580</v>
      </c>
      <c r="B26" s="2158"/>
      <c r="C26" s="2158"/>
      <c r="D26" s="2158"/>
      <c r="E26" s="2158"/>
      <c r="F26" s="2158"/>
      <c r="G26" s="2159"/>
      <c r="H26" s="2141"/>
      <c r="I26" s="2140"/>
      <c r="J26" s="2140"/>
      <c r="K26" s="2140"/>
      <c r="L26" s="2140"/>
      <c r="M26" s="2140"/>
      <c r="N26" s="2140"/>
      <c r="O26" s="2140"/>
      <c r="P26" s="2140"/>
      <c r="Q26" s="2140"/>
      <c r="R26" s="2137"/>
    </row>
    <row r="27" spans="1:18" ht="24.75" customHeight="1" thickBot="1">
      <c r="A27" s="2160" t="s">
        <v>1581</v>
      </c>
      <c r="B27" s="2161"/>
      <c r="C27" s="2161"/>
      <c r="D27" s="2161"/>
      <c r="E27" s="2161"/>
      <c r="F27" s="2161"/>
      <c r="G27" s="2162"/>
      <c r="H27" s="2149" t="str">
        <f>Általános!B21</f>
        <v>166934</v>
      </c>
      <c r="I27" s="2150"/>
      <c r="J27" s="2150"/>
      <c r="K27" s="2150"/>
      <c r="L27" s="2150"/>
      <c r="M27" s="2150"/>
      <c r="N27" s="2150"/>
      <c r="O27" s="2150"/>
      <c r="P27" s="2150"/>
      <c r="Q27" s="2150"/>
      <c r="R27" s="2151"/>
    </row>
    <row r="28" spans="1:18" ht="12.75">
      <c r="A28" s="1469"/>
      <c r="B28" s="1469"/>
      <c r="C28" s="1469"/>
      <c r="D28" s="1469"/>
      <c r="E28" s="1469"/>
      <c r="F28" s="1469"/>
      <c r="H28" s="1465"/>
      <c r="I28" s="1465"/>
      <c r="J28" s="1465"/>
      <c r="K28" s="1465"/>
      <c r="L28" s="1465"/>
      <c r="M28" s="1465"/>
      <c r="N28" s="1465"/>
      <c r="O28" s="1465"/>
      <c r="P28" s="1465"/>
      <c r="Q28" s="1465"/>
      <c r="R28" s="1465"/>
    </row>
    <row r="29" spans="1:18" ht="12.75" customHeight="1" thickBot="1">
      <c r="A29" s="1466" t="s">
        <v>759</v>
      </c>
      <c r="B29" s="1467"/>
      <c r="C29" s="1467"/>
      <c r="D29" s="1467"/>
      <c r="E29" s="1467"/>
      <c r="F29" s="1467"/>
      <c r="G29" s="1467"/>
      <c r="H29" s="1468"/>
      <c r="I29" s="1468"/>
      <c r="J29" s="1468"/>
      <c r="K29" s="1468"/>
      <c r="L29" s="1468"/>
      <c r="M29" s="1468"/>
      <c r="N29" s="1468"/>
      <c r="O29" s="1468"/>
      <c r="P29" s="1468"/>
      <c r="Q29" s="1468"/>
      <c r="R29" s="1468"/>
    </row>
    <row r="30" spans="1:18" ht="24.75" customHeight="1">
      <c r="A30" s="2154" t="s">
        <v>853</v>
      </c>
      <c r="B30" s="2155"/>
      <c r="C30" s="2155"/>
      <c r="D30" s="2155"/>
      <c r="E30" s="2155"/>
      <c r="F30" s="2155"/>
      <c r="G30" s="2156"/>
      <c r="H30" s="2163"/>
      <c r="I30" s="2164"/>
      <c r="J30" s="2164"/>
      <c r="K30" s="2164"/>
      <c r="L30" s="2164"/>
      <c r="M30" s="2164"/>
      <c r="N30" s="2164"/>
      <c r="O30" s="2164"/>
      <c r="P30" s="2164"/>
      <c r="Q30" s="2164"/>
      <c r="R30" s="2165"/>
    </row>
    <row r="31" spans="1:18" ht="24.75" customHeight="1">
      <c r="A31" s="2157" t="s">
        <v>760</v>
      </c>
      <c r="B31" s="2158"/>
      <c r="C31" s="2158"/>
      <c r="D31" s="2158"/>
      <c r="E31" s="2158"/>
      <c r="F31" s="2158"/>
      <c r="G31" s="2159"/>
      <c r="H31" s="2141"/>
      <c r="I31" s="2140"/>
      <c r="J31" s="2140"/>
      <c r="K31" s="2140"/>
      <c r="L31" s="2140"/>
      <c r="M31" s="2140"/>
      <c r="N31" s="2140"/>
      <c r="O31" s="2140"/>
      <c r="P31" s="2140"/>
      <c r="Q31" s="2140"/>
      <c r="R31" s="2137"/>
    </row>
    <row r="32" spans="1:18" ht="24.75" customHeight="1" thickBot="1">
      <c r="A32" s="2160"/>
      <c r="B32" s="2161"/>
      <c r="C32" s="2161"/>
      <c r="D32" s="2161"/>
      <c r="E32" s="2161"/>
      <c r="F32" s="2161"/>
      <c r="G32" s="2162"/>
      <c r="H32" s="2149"/>
      <c r="I32" s="2150"/>
      <c r="J32" s="2150"/>
      <c r="K32" s="2150"/>
      <c r="L32" s="2150"/>
      <c r="M32" s="2150"/>
      <c r="N32" s="2150"/>
      <c r="O32" s="2150"/>
      <c r="P32" s="2150"/>
      <c r="Q32" s="2150"/>
      <c r="R32" s="2151"/>
    </row>
    <row r="34" spans="2:18" ht="12.75">
      <c r="B34" s="1469"/>
      <c r="C34" s="1469"/>
      <c r="D34" s="1469"/>
      <c r="E34" s="1469"/>
      <c r="F34" s="1469"/>
      <c r="G34" s="1469"/>
      <c r="H34" s="1469"/>
      <c r="I34" s="1469"/>
      <c r="J34" s="1469"/>
      <c r="K34" s="1469"/>
      <c r="L34" s="1469"/>
      <c r="M34" s="1469"/>
      <c r="N34" s="1469"/>
      <c r="O34" s="1469"/>
      <c r="P34" s="1469"/>
      <c r="Q34" s="1469"/>
      <c r="R34" s="1469"/>
    </row>
    <row r="35" spans="1:18" ht="15.75" thickBot="1">
      <c r="A35" s="562" t="s">
        <v>1350</v>
      </c>
      <c r="B35" s="1868"/>
      <c r="C35" s="404"/>
      <c r="D35" s="404"/>
      <c r="E35" s="404"/>
      <c r="F35" s="404"/>
      <c r="G35" s="404"/>
      <c r="H35" s="404"/>
      <c r="I35" s="404"/>
      <c r="J35" s="404"/>
      <c r="K35" s="404"/>
      <c r="L35" s="404"/>
      <c r="M35" s="404"/>
      <c r="N35" s="404"/>
      <c r="O35" s="404"/>
      <c r="P35" s="404"/>
      <c r="Q35" s="404"/>
      <c r="R35" s="404"/>
    </row>
    <row r="36" spans="1:18" ht="41.25" customHeight="1">
      <c r="A36" s="2134" t="s">
        <v>494</v>
      </c>
      <c r="B36" s="2127"/>
      <c r="C36" s="2127"/>
      <c r="D36" s="2128"/>
      <c r="E36" s="2129" t="s">
        <v>1544</v>
      </c>
      <c r="F36" s="2130"/>
      <c r="G36" s="2130"/>
      <c r="H36" s="2130"/>
      <c r="I36" s="2131"/>
      <c r="J36" s="2129" t="s">
        <v>1545</v>
      </c>
      <c r="K36" s="2130"/>
      <c r="L36" s="2130"/>
      <c r="M36" s="2131"/>
      <c r="N36" s="2132" t="s">
        <v>1548</v>
      </c>
      <c r="O36" s="2114"/>
      <c r="P36" s="2114"/>
      <c r="Q36" s="2114"/>
      <c r="R36" s="2115"/>
    </row>
    <row r="37" spans="1:18" ht="12.75">
      <c r="A37" s="2116"/>
      <c r="B37" s="2117"/>
      <c r="C37" s="2117"/>
      <c r="D37" s="2118"/>
      <c r="E37" s="2122"/>
      <c r="F37" s="2123"/>
      <c r="G37" s="2123"/>
      <c r="H37" s="2123"/>
      <c r="I37" s="2124"/>
      <c r="J37" s="2119"/>
      <c r="K37" s="2120"/>
      <c r="L37" s="2120"/>
      <c r="M37" s="2121"/>
      <c r="N37" s="2119"/>
      <c r="O37" s="2120"/>
      <c r="P37" s="2120"/>
      <c r="Q37" s="2120"/>
      <c r="R37" s="2126"/>
    </row>
    <row r="38" spans="1:18" ht="12.75">
      <c r="A38" s="2116"/>
      <c r="B38" s="2117"/>
      <c r="C38" s="2117"/>
      <c r="D38" s="2118"/>
      <c r="E38" s="2122"/>
      <c r="F38" s="2123"/>
      <c r="G38" s="2123"/>
      <c r="H38" s="2123"/>
      <c r="I38" s="2124"/>
      <c r="J38" s="2119"/>
      <c r="K38" s="2120"/>
      <c r="L38" s="2120"/>
      <c r="M38" s="2121"/>
      <c r="N38" s="2122"/>
      <c r="O38" s="2123"/>
      <c r="P38" s="2123"/>
      <c r="Q38" s="2123"/>
      <c r="R38" s="2125"/>
    </row>
    <row r="39" spans="1:18" ht="12.75">
      <c r="A39" s="2116"/>
      <c r="B39" s="2117"/>
      <c r="C39" s="2117"/>
      <c r="D39" s="2118"/>
      <c r="E39" s="2122"/>
      <c r="F39" s="2123"/>
      <c r="G39" s="2123"/>
      <c r="H39" s="2123"/>
      <c r="I39" s="2124"/>
      <c r="J39" s="2119"/>
      <c r="K39" s="2120"/>
      <c r="L39" s="2120"/>
      <c r="M39" s="2121"/>
      <c r="N39" s="2122"/>
      <c r="O39" s="2123"/>
      <c r="P39" s="2123"/>
      <c r="Q39" s="2123"/>
      <c r="R39" s="2125"/>
    </row>
    <row r="40" spans="1:18" ht="12.75">
      <c r="A40" s="2116"/>
      <c r="B40" s="2117"/>
      <c r="C40" s="2117"/>
      <c r="D40" s="2118"/>
      <c r="E40" s="2122"/>
      <c r="F40" s="2123"/>
      <c r="G40" s="2123"/>
      <c r="H40" s="2123"/>
      <c r="I40" s="2124"/>
      <c r="J40" s="2119"/>
      <c r="K40" s="2120"/>
      <c r="L40" s="2120"/>
      <c r="M40" s="2121"/>
      <c r="N40" s="2122"/>
      <c r="O40" s="2123"/>
      <c r="P40" s="2123"/>
      <c r="Q40" s="2123"/>
      <c r="R40" s="2125"/>
    </row>
    <row r="41" spans="1:18" ht="12.75">
      <c r="A41" s="2116"/>
      <c r="B41" s="2117"/>
      <c r="C41" s="2117"/>
      <c r="D41" s="2118"/>
      <c r="E41" s="2122"/>
      <c r="F41" s="2123"/>
      <c r="G41" s="2123"/>
      <c r="H41" s="2123"/>
      <c r="I41" s="2124"/>
      <c r="J41" s="2119"/>
      <c r="K41" s="2120"/>
      <c r="L41" s="2120"/>
      <c r="M41" s="2121"/>
      <c r="N41" s="2122"/>
      <c r="O41" s="2123"/>
      <c r="P41" s="2123"/>
      <c r="Q41" s="2123"/>
      <c r="R41" s="2125"/>
    </row>
    <row r="42" spans="1:18" ht="12.75">
      <c r="A42" s="2116"/>
      <c r="B42" s="2117"/>
      <c r="C42" s="2117"/>
      <c r="D42" s="2118"/>
      <c r="E42" s="2122"/>
      <c r="F42" s="2123"/>
      <c r="G42" s="2123"/>
      <c r="H42" s="2123"/>
      <c r="I42" s="2124"/>
      <c r="J42" s="2119"/>
      <c r="K42" s="2120"/>
      <c r="L42" s="2120"/>
      <c r="M42" s="2121"/>
      <c r="N42" s="2122"/>
      <c r="O42" s="2123"/>
      <c r="P42" s="2123"/>
      <c r="Q42" s="2123"/>
      <c r="R42" s="2125"/>
    </row>
  </sheetData>
  <sheetProtection formatRows="0"/>
  <mergeCells count="53">
    <mergeCell ref="A32:G32"/>
    <mergeCell ref="H32:R32"/>
    <mergeCell ref="A30:G30"/>
    <mergeCell ref="H30:R30"/>
    <mergeCell ref="A31:G31"/>
    <mergeCell ref="H31:R31"/>
    <mergeCell ref="N41:R41"/>
    <mergeCell ref="N42:R42"/>
    <mergeCell ref="J37:M37"/>
    <mergeCell ref="J38:M38"/>
    <mergeCell ref="N37:R37"/>
    <mergeCell ref="N38:R38"/>
    <mergeCell ref="N39:R39"/>
    <mergeCell ref="N40:R40"/>
    <mergeCell ref="J39:M39"/>
    <mergeCell ref="J40:M40"/>
    <mergeCell ref="A41:D41"/>
    <mergeCell ref="A42:D42"/>
    <mergeCell ref="E41:I41"/>
    <mergeCell ref="E42:I42"/>
    <mergeCell ref="J41:M41"/>
    <mergeCell ref="J42:M42"/>
    <mergeCell ref="E37:I37"/>
    <mergeCell ref="E38:I38"/>
    <mergeCell ref="E39:I39"/>
    <mergeCell ref="E40:I40"/>
    <mergeCell ref="A37:D37"/>
    <mergeCell ref="A38:D38"/>
    <mergeCell ref="A39:D39"/>
    <mergeCell ref="A40:D40"/>
    <mergeCell ref="A36:D36"/>
    <mergeCell ref="E36:I36"/>
    <mergeCell ref="J36:M36"/>
    <mergeCell ref="N36:R36"/>
    <mergeCell ref="A11:G11"/>
    <mergeCell ref="A12:G12"/>
    <mergeCell ref="A13:G13"/>
    <mergeCell ref="H11:R11"/>
    <mergeCell ref="H12:R12"/>
    <mergeCell ref="H13:R13"/>
    <mergeCell ref="H27:R27"/>
    <mergeCell ref="A16:G16"/>
    <mergeCell ref="H15:R15"/>
    <mergeCell ref="H16:R16"/>
    <mergeCell ref="A25:G25"/>
    <mergeCell ref="A26:G26"/>
    <mergeCell ref="A27:G27"/>
    <mergeCell ref="H25:R25"/>
    <mergeCell ref="H26:R26"/>
    <mergeCell ref="H14:R14"/>
    <mergeCell ref="A14:G14"/>
    <mergeCell ref="A15:G15"/>
    <mergeCell ref="H22:R22"/>
  </mergeCells>
  <dataValidations count="1">
    <dataValidation type="list" allowBlank="1" showInputMessage="1" showErrorMessage="1" sqref="H22:R22">
      <formula1>$T$12:$T$13</formula1>
    </dataValidation>
  </dataValidations>
  <printOptions horizontalCentered="1"/>
  <pageMargins left="0.59" right="0.61" top="0.61" bottom="0.984251968503937" header="0.41" footer="0.5118110236220472"/>
  <pageSetup horizontalDpi="600" verticalDpi="600" orientation="portrait"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codeName="Munka36">
    <tabColor indexed="11"/>
  </sheetPr>
  <dimension ref="A1:R42"/>
  <sheetViews>
    <sheetView workbookViewId="0" topLeftCell="A4">
      <selection activeCell="Z29" sqref="Z29"/>
    </sheetView>
  </sheetViews>
  <sheetFormatPr defaultColWidth="9.00390625" defaultRowHeight="12.75"/>
  <cols>
    <col min="1" max="3" width="4.75390625" style="388" customWidth="1"/>
    <col min="4" max="4" width="6.00390625" style="388" customWidth="1"/>
    <col min="5" max="5" width="4.75390625" style="388" customWidth="1"/>
    <col min="6" max="6" width="4.625" style="388" customWidth="1"/>
    <col min="7" max="7" width="4.75390625" style="388" customWidth="1"/>
    <col min="8" max="8" width="6.25390625" style="388" customWidth="1"/>
    <col min="9" max="17" width="4.75390625" style="388" customWidth="1"/>
    <col min="18" max="18" width="11.625" style="388" customWidth="1"/>
    <col min="19" max="16384" width="9.125" style="388" customWidth="1"/>
  </cols>
  <sheetData>
    <row r="1" spans="1:18" ht="12.75">
      <c r="A1" s="387" t="str">
        <f>EgyszÉvesMérleg"A"!B4</f>
        <v>Komáromi Távhő Kft</v>
      </c>
      <c r="R1" s="389" t="str">
        <f>KiegMell!A25&amp;" "&amp;IF(Általános!B19=Általános!F8,KiegMell!A27,KiegMell!A29)</f>
        <v>Kiegészítő melléklet 2016. december 31.Hőszolgáltatás </v>
      </c>
    </row>
    <row r="2" spans="1:18" ht="12.75">
      <c r="A2" s="387"/>
      <c r="R2" s="389" t="str">
        <f>'I.A.1'!A5</f>
        <v>I. Általános kiegészítések</v>
      </c>
    </row>
    <row r="3" spans="1:18" ht="12.75">
      <c r="A3" s="390" t="str">
        <f>'Beszámoló Fedlap'!A32</f>
        <v>A közzétett adatokat könyvvizsgáló ellenőrizte</v>
      </c>
      <c r="B3" s="391"/>
      <c r="C3" s="391"/>
      <c r="D3" s="391"/>
      <c r="E3" s="391"/>
      <c r="F3" s="391"/>
      <c r="G3" s="391"/>
      <c r="H3" s="392"/>
      <c r="I3" s="392"/>
      <c r="J3" s="392"/>
      <c r="K3" s="393"/>
      <c r="L3" s="393"/>
      <c r="M3" s="393"/>
      <c r="N3" s="393"/>
      <c r="O3" s="393"/>
      <c r="P3" s="393"/>
      <c r="Q3" s="393"/>
      <c r="R3" s="393"/>
    </row>
    <row r="4" spans="1:18" ht="12.75">
      <c r="A4" s="390"/>
      <c r="B4" s="391"/>
      <c r="C4" s="391"/>
      <c r="D4" s="391"/>
      <c r="E4" s="391"/>
      <c r="F4" s="391"/>
      <c r="G4" s="391"/>
      <c r="H4" s="392"/>
      <c r="I4" s="392"/>
      <c r="J4" s="392"/>
      <c r="K4" s="393"/>
      <c r="L4" s="393"/>
      <c r="M4" s="393"/>
      <c r="N4" s="393"/>
      <c r="O4" s="393"/>
      <c r="P4" s="393"/>
      <c r="Q4" s="393"/>
      <c r="R4" s="393"/>
    </row>
    <row r="5" spans="1:18" s="1042" customFormat="1" ht="16.5">
      <c r="A5" s="1458" t="str">
        <f>'I.A.1'!A7</f>
        <v>I.A. A vállalkozás bemutatása</v>
      </c>
      <c r="B5" s="1459"/>
      <c r="C5" s="1452"/>
      <c r="D5" s="1452"/>
      <c r="E5" s="1452"/>
      <c r="F5" s="1452"/>
      <c r="G5" s="1452"/>
      <c r="H5" s="1452"/>
      <c r="I5" s="1452"/>
      <c r="J5" s="1452"/>
      <c r="K5" s="1452"/>
      <c r="L5" s="1452"/>
      <c r="M5" s="1452"/>
      <c r="N5" s="1452"/>
      <c r="O5" s="1452"/>
      <c r="P5" s="1452"/>
      <c r="Q5" s="1452"/>
      <c r="R5" s="1452"/>
    </row>
    <row r="6" spans="1:10" ht="12.75">
      <c r="A6" s="390"/>
      <c r="B6" s="391"/>
      <c r="C6" s="391"/>
      <c r="D6" s="391"/>
      <c r="E6" s="391"/>
      <c r="F6" s="391"/>
      <c r="G6" s="391"/>
      <c r="H6" s="392"/>
      <c r="I6" s="392"/>
      <c r="J6" s="392"/>
    </row>
    <row r="7" ht="24.75" customHeight="1">
      <c r="A7" s="625" t="s">
        <v>490</v>
      </c>
    </row>
    <row r="8" spans="1:6" ht="24.75" customHeight="1" thickBot="1">
      <c r="A8" s="2172" t="s">
        <v>505</v>
      </c>
      <c r="B8" s="2172"/>
      <c r="C8" s="2172"/>
      <c r="D8" s="2172"/>
      <c r="E8" s="2172"/>
      <c r="F8" s="2172"/>
    </row>
    <row r="9" spans="1:18" ht="24.75" customHeight="1">
      <c r="A9" s="2112" t="s">
        <v>494</v>
      </c>
      <c r="B9" s="2113"/>
      <c r="C9" s="2113"/>
      <c r="D9" s="2113"/>
      <c r="E9" s="2113"/>
      <c r="F9" s="2113"/>
      <c r="G9" s="2108" t="s">
        <v>1549</v>
      </c>
      <c r="H9" s="2108"/>
      <c r="I9" s="2108" t="s">
        <v>1550</v>
      </c>
      <c r="J9" s="2108"/>
      <c r="K9" s="2108"/>
      <c r="L9" s="2108"/>
      <c r="M9" s="2108"/>
      <c r="N9" s="2108" t="s">
        <v>1551</v>
      </c>
      <c r="O9" s="2108"/>
      <c r="P9" s="2108"/>
      <c r="Q9" s="2108"/>
      <c r="R9" s="2111"/>
    </row>
    <row r="10" spans="1:18" ht="24.75" customHeight="1">
      <c r="A10" s="2109"/>
      <c r="B10" s="2110"/>
      <c r="C10" s="2110"/>
      <c r="D10" s="2110"/>
      <c r="E10" s="2110"/>
      <c r="F10" s="2110"/>
      <c r="G10" s="2168"/>
      <c r="H10" s="2168"/>
      <c r="I10" s="2166"/>
      <c r="J10" s="2166"/>
      <c r="K10" s="2166"/>
      <c r="L10" s="2166"/>
      <c r="M10" s="2166"/>
      <c r="N10" s="2166"/>
      <c r="O10" s="2166"/>
      <c r="P10" s="2166"/>
      <c r="Q10" s="2166"/>
      <c r="R10" s="2167"/>
    </row>
    <row r="11" spans="1:18" ht="24.75" customHeight="1">
      <c r="A11" s="2109"/>
      <c r="B11" s="2110"/>
      <c r="C11" s="2110"/>
      <c r="D11" s="2110"/>
      <c r="E11" s="2110"/>
      <c r="F11" s="2110"/>
      <c r="G11" s="2168"/>
      <c r="H11" s="2168"/>
      <c r="I11" s="2166"/>
      <c r="J11" s="2166"/>
      <c r="K11" s="2166"/>
      <c r="L11" s="2166"/>
      <c r="M11" s="2166"/>
      <c r="N11" s="2166"/>
      <c r="O11" s="2166"/>
      <c r="P11" s="2166"/>
      <c r="Q11" s="2166"/>
      <c r="R11" s="2167"/>
    </row>
    <row r="12" spans="1:18" ht="24.75" customHeight="1">
      <c r="A12" s="2109"/>
      <c r="B12" s="2110"/>
      <c r="C12" s="2110"/>
      <c r="D12" s="2110"/>
      <c r="E12" s="2110"/>
      <c r="F12" s="2110"/>
      <c r="G12" s="2168"/>
      <c r="H12" s="2168"/>
      <c r="I12" s="2166"/>
      <c r="J12" s="2166"/>
      <c r="K12" s="2166"/>
      <c r="L12" s="2166"/>
      <c r="M12" s="2166"/>
      <c r="N12" s="2166"/>
      <c r="O12" s="2166"/>
      <c r="P12" s="2166"/>
      <c r="Q12" s="2166"/>
      <c r="R12" s="2167"/>
    </row>
    <row r="13" spans="1:18" ht="24.75" customHeight="1">
      <c r="A13" s="2109"/>
      <c r="B13" s="2110"/>
      <c r="C13" s="2110"/>
      <c r="D13" s="2110"/>
      <c r="E13" s="2110"/>
      <c r="F13" s="2110"/>
      <c r="G13" s="2168"/>
      <c r="H13" s="2168"/>
      <c r="I13" s="2166"/>
      <c r="J13" s="2166"/>
      <c r="K13" s="2166"/>
      <c r="L13" s="2166"/>
      <c r="M13" s="2166"/>
      <c r="N13" s="2166"/>
      <c r="O13" s="2166"/>
      <c r="P13" s="2166"/>
      <c r="Q13" s="2166"/>
      <c r="R13" s="2167"/>
    </row>
    <row r="14" spans="1:18" ht="24.75" customHeight="1">
      <c r="A14" s="2109"/>
      <c r="B14" s="2110"/>
      <c r="C14" s="2110"/>
      <c r="D14" s="2110"/>
      <c r="E14" s="2110"/>
      <c r="F14" s="2110"/>
      <c r="G14" s="2168"/>
      <c r="H14" s="2168"/>
      <c r="I14" s="2166"/>
      <c r="J14" s="2166"/>
      <c r="K14" s="2166"/>
      <c r="L14" s="2166"/>
      <c r="M14" s="2166"/>
      <c r="N14" s="2166"/>
      <c r="O14" s="2166"/>
      <c r="P14" s="2166"/>
      <c r="Q14" s="2166"/>
      <c r="R14" s="2167"/>
    </row>
    <row r="15" spans="1:18" ht="24.75" customHeight="1" thickBot="1">
      <c r="A15" s="2169"/>
      <c r="B15" s="2170"/>
      <c r="C15" s="2170"/>
      <c r="D15" s="2170"/>
      <c r="E15" s="2170"/>
      <c r="F15" s="2170"/>
      <c r="G15" s="2171"/>
      <c r="H15" s="2171"/>
      <c r="I15" s="2106"/>
      <c r="J15" s="2106"/>
      <c r="K15" s="2106"/>
      <c r="L15" s="2106"/>
      <c r="M15" s="2106"/>
      <c r="N15" s="2106"/>
      <c r="O15" s="2106"/>
      <c r="P15" s="2106"/>
      <c r="Q15" s="2106"/>
      <c r="R15" s="2107"/>
    </row>
    <row r="16" ht="24.75" customHeight="1">
      <c r="A16" s="372"/>
    </row>
    <row r="17" ht="13.5" thickBot="1">
      <c r="A17" s="625" t="s">
        <v>1449</v>
      </c>
    </row>
    <row r="18" spans="1:18" ht="24.75" customHeight="1">
      <c r="A18" s="2112" t="s">
        <v>494</v>
      </c>
      <c r="B18" s="2113"/>
      <c r="C18" s="2113"/>
      <c r="D18" s="2113"/>
      <c r="E18" s="2113"/>
      <c r="F18" s="2113"/>
      <c r="G18" s="2108" t="s">
        <v>1549</v>
      </c>
      <c r="H18" s="2108"/>
      <c r="I18" s="2108" t="s">
        <v>1550</v>
      </c>
      <c r="J18" s="2108"/>
      <c r="K18" s="2108"/>
      <c r="L18" s="2108"/>
      <c r="M18" s="2108"/>
      <c r="N18" s="2108" t="s">
        <v>1551</v>
      </c>
      <c r="O18" s="2108"/>
      <c r="P18" s="2108"/>
      <c r="Q18" s="2108"/>
      <c r="R18" s="2111"/>
    </row>
    <row r="19" spans="1:18" ht="24.75" customHeight="1">
      <c r="A19" s="2109"/>
      <c r="B19" s="2110"/>
      <c r="C19" s="2110"/>
      <c r="D19" s="2110"/>
      <c r="E19" s="2110"/>
      <c r="F19" s="2110"/>
      <c r="G19" s="2168"/>
      <c r="H19" s="2168"/>
      <c r="I19" s="2166"/>
      <c r="J19" s="2166"/>
      <c r="K19" s="2166"/>
      <c r="L19" s="2166"/>
      <c r="M19" s="2166"/>
      <c r="N19" s="2166"/>
      <c r="O19" s="2166"/>
      <c r="P19" s="2166"/>
      <c r="Q19" s="2166"/>
      <c r="R19" s="2167"/>
    </row>
    <row r="20" spans="1:18" ht="24.75" customHeight="1">
      <c r="A20" s="2109"/>
      <c r="B20" s="2110"/>
      <c r="C20" s="2110"/>
      <c r="D20" s="2110"/>
      <c r="E20" s="2110"/>
      <c r="F20" s="2110"/>
      <c r="G20" s="2168"/>
      <c r="H20" s="2168"/>
      <c r="I20" s="2166"/>
      <c r="J20" s="2166"/>
      <c r="K20" s="2166"/>
      <c r="L20" s="2166"/>
      <c r="M20" s="2166"/>
      <c r="N20" s="2166"/>
      <c r="O20" s="2166"/>
      <c r="P20" s="2166"/>
      <c r="Q20" s="2166"/>
      <c r="R20" s="2167"/>
    </row>
    <row r="21" spans="1:18" ht="24.75" customHeight="1">
      <c r="A21" s="2109"/>
      <c r="B21" s="2110"/>
      <c r="C21" s="2110"/>
      <c r="D21" s="2110"/>
      <c r="E21" s="2110"/>
      <c r="F21" s="2110"/>
      <c r="G21" s="2168"/>
      <c r="H21" s="2168"/>
      <c r="I21" s="2166"/>
      <c r="J21" s="2166"/>
      <c r="K21" s="2166"/>
      <c r="L21" s="2166"/>
      <c r="M21" s="2166"/>
      <c r="N21" s="2166"/>
      <c r="O21" s="2166"/>
      <c r="P21" s="2166"/>
      <c r="Q21" s="2166"/>
      <c r="R21" s="2167"/>
    </row>
    <row r="22" spans="1:18" ht="24.75" customHeight="1">
      <c r="A22" s="2109"/>
      <c r="B22" s="2110"/>
      <c r="C22" s="2110"/>
      <c r="D22" s="2110"/>
      <c r="E22" s="2110"/>
      <c r="F22" s="2110"/>
      <c r="G22" s="2168"/>
      <c r="H22" s="2168"/>
      <c r="I22" s="2166"/>
      <c r="J22" s="2166"/>
      <c r="K22" s="2166"/>
      <c r="L22" s="2166"/>
      <c r="M22" s="2166"/>
      <c r="N22" s="2166"/>
      <c r="O22" s="2166"/>
      <c r="P22" s="2166"/>
      <c r="Q22" s="2166"/>
      <c r="R22" s="2167"/>
    </row>
    <row r="23" spans="1:18" ht="24.75" customHeight="1">
      <c r="A23" s="2109"/>
      <c r="B23" s="2110"/>
      <c r="C23" s="2110"/>
      <c r="D23" s="2110"/>
      <c r="E23" s="2110"/>
      <c r="F23" s="2110"/>
      <c r="G23" s="2168"/>
      <c r="H23" s="2168"/>
      <c r="I23" s="2166"/>
      <c r="J23" s="2166"/>
      <c r="K23" s="2166"/>
      <c r="L23" s="2166"/>
      <c r="M23" s="2166"/>
      <c r="N23" s="2166"/>
      <c r="O23" s="2166"/>
      <c r="P23" s="2166"/>
      <c r="Q23" s="2166"/>
      <c r="R23" s="2167"/>
    </row>
    <row r="24" spans="1:18" ht="24.75" customHeight="1" thickBot="1">
      <c r="A24" s="2169"/>
      <c r="B24" s="2170"/>
      <c r="C24" s="2170"/>
      <c r="D24" s="2170"/>
      <c r="E24" s="2170"/>
      <c r="F24" s="2170"/>
      <c r="G24" s="2171"/>
      <c r="H24" s="2171"/>
      <c r="I24" s="2106"/>
      <c r="J24" s="2106"/>
      <c r="K24" s="2106"/>
      <c r="L24" s="2106"/>
      <c r="M24" s="2106"/>
      <c r="N24" s="2106"/>
      <c r="O24" s="2106"/>
      <c r="P24" s="2106"/>
      <c r="Q24" s="2106"/>
      <c r="R24" s="2107"/>
    </row>
    <row r="25" ht="12.75">
      <c r="A25" s="372"/>
    </row>
    <row r="26" spans="1:16" ht="24" customHeight="1" thickBot="1">
      <c r="A26" s="486" t="s">
        <v>1546</v>
      </c>
      <c r="B26" s="486"/>
      <c r="C26" s="486"/>
      <c r="D26" s="486"/>
      <c r="E26" s="486"/>
      <c r="F26" s="486"/>
      <c r="G26" s="486"/>
      <c r="H26" s="486"/>
      <c r="I26" s="486"/>
      <c r="J26" s="486"/>
      <c r="K26" s="486"/>
      <c r="L26" s="403"/>
      <c r="M26" s="403"/>
      <c r="N26" s="403"/>
      <c r="O26" s="403"/>
      <c r="P26" s="403"/>
    </row>
    <row r="27" spans="1:18" ht="24.75" customHeight="1">
      <c r="A27" s="2112" t="s">
        <v>1552</v>
      </c>
      <c r="B27" s="2113"/>
      <c r="C27" s="2113"/>
      <c r="D27" s="2113"/>
      <c r="E27" s="2113"/>
      <c r="F27" s="2113"/>
      <c r="G27" s="2108" t="s">
        <v>1549</v>
      </c>
      <c r="H27" s="2108"/>
      <c r="I27" s="2108" t="s">
        <v>1550</v>
      </c>
      <c r="J27" s="2108"/>
      <c r="K27" s="2108"/>
      <c r="L27" s="2108"/>
      <c r="M27" s="2108"/>
      <c r="N27" s="2108" t="s">
        <v>1551</v>
      </c>
      <c r="O27" s="2108"/>
      <c r="P27" s="2108"/>
      <c r="Q27" s="2108"/>
      <c r="R27" s="2111"/>
    </row>
    <row r="28" spans="1:18" ht="24.75" customHeight="1">
      <c r="A28" s="2109"/>
      <c r="B28" s="2110"/>
      <c r="C28" s="2110"/>
      <c r="D28" s="2110"/>
      <c r="E28" s="2110"/>
      <c r="F28" s="2110"/>
      <c r="G28" s="2168"/>
      <c r="H28" s="2168"/>
      <c r="I28" s="2166"/>
      <c r="J28" s="2166"/>
      <c r="K28" s="2166"/>
      <c r="L28" s="2166"/>
      <c r="M28" s="2166"/>
      <c r="N28" s="2166"/>
      <c r="O28" s="2166"/>
      <c r="P28" s="2166"/>
      <c r="Q28" s="2166"/>
      <c r="R28" s="2167"/>
    </row>
    <row r="29" spans="1:18" ht="24.75" customHeight="1">
      <c r="A29" s="2109"/>
      <c r="B29" s="2110"/>
      <c r="C29" s="2110"/>
      <c r="D29" s="2110"/>
      <c r="E29" s="2110"/>
      <c r="F29" s="2110"/>
      <c r="G29" s="2168"/>
      <c r="H29" s="2168"/>
      <c r="I29" s="2166"/>
      <c r="J29" s="2166"/>
      <c r="K29" s="2166"/>
      <c r="L29" s="2166"/>
      <c r="M29" s="2166"/>
      <c r="N29" s="2166"/>
      <c r="O29" s="2166"/>
      <c r="P29" s="2166"/>
      <c r="Q29" s="2166"/>
      <c r="R29" s="2167"/>
    </row>
    <row r="30" spans="1:18" ht="24.75" customHeight="1">
      <c r="A30" s="2109"/>
      <c r="B30" s="2110"/>
      <c r="C30" s="2110"/>
      <c r="D30" s="2110"/>
      <c r="E30" s="2110"/>
      <c r="F30" s="2110"/>
      <c r="G30" s="2168"/>
      <c r="H30" s="2168"/>
      <c r="I30" s="2166"/>
      <c r="J30" s="2166"/>
      <c r="K30" s="2166"/>
      <c r="L30" s="2166"/>
      <c r="M30" s="2166"/>
      <c r="N30" s="2166"/>
      <c r="O30" s="2166"/>
      <c r="P30" s="2166"/>
      <c r="Q30" s="2166"/>
      <c r="R30" s="2167"/>
    </row>
    <row r="31" spans="1:18" ht="24.75" customHeight="1">
      <c r="A31" s="2109"/>
      <c r="B31" s="2110"/>
      <c r="C31" s="2110"/>
      <c r="D31" s="2110"/>
      <c r="E31" s="2110"/>
      <c r="F31" s="2110"/>
      <c r="G31" s="2168"/>
      <c r="H31" s="2168"/>
      <c r="I31" s="2166"/>
      <c r="J31" s="2166"/>
      <c r="K31" s="2166"/>
      <c r="L31" s="2166"/>
      <c r="M31" s="2166"/>
      <c r="N31" s="2166"/>
      <c r="O31" s="2166"/>
      <c r="P31" s="2166"/>
      <c r="Q31" s="2166"/>
      <c r="R31" s="2167"/>
    </row>
    <row r="32" spans="1:18" ht="24.75" customHeight="1">
      <c r="A32" s="2109"/>
      <c r="B32" s="2110"/>
      <c r="C32" s="2110"/>
      <c r="D32" s="2110"/>
      <c r="E32" s="2110"/>
      <c r="F32" s="2110"/>
      <c r="G32" s="2168"/>
      <c r="H32" s="2168"/>
      <c r="I32" s="2166"/>
      <c r="J32" s="2166"/>
      <c r="K32" s="2166"/>
      <c r="L32" s="2166"/>
      <c r="M32" s="2166"/>
      <c r="N32" s="2166"/>
      <c r="O32" s="2166"/>
      <c r="P32" s="2166"/>
      <c r="Q32" s="2166"/>
      <c r="R32" s="2167"/>
    </row>
    <row r="33" spans="1:18" ht="24.75" customHeight="1" thickBot="1">
      <c r="A33" s="2169"/>
      <c r="B33" s="2170"/>
      <c r="C33" s="2170"/>
      <c r="D33" s="2170"/>
      <c r="E33" s="2170"/>
      <c r="F33" s="2170"/>
      <c r="G33" s="2171"/>
      <c r="H33" s="2171"/>
      <c r="I33" s="2106"/>
      <c r="J33" s="2106"/>
      <c r="K33" s="2106"/>
      <c r="L33" s="2106"/>
      <c r="M33" s="2106"/>
      <c r="N33" s="2106"/>
      <c r="O33" s="2106"/>
      <c r="P33" s="2106"/>
      <c r="Q33" s="2106"/>
      <c r="R33" s="2107"/>
    </row>
    <row r="34" spans="1:16" ht="24" customHeight="1">
      <c r="A34" s="486"/>
      <c r="B34" s="486"/>
      <c r="C34" s="486"/>
      <c r="D34" s="486"/>
      <c r="E34" s="486"/>
      <c r="F34" s="486"/>
      <c r="G34" s="486"/>
      <c r="H34" s="486"/>
      <c r="I34" s="486"/>
      <c r="J34" s="486"/>
      <c r="K34" s="486"/>
      <c r="L34" s="403"/>
      <c r="M34" s="403"/>
      <c r="N34" s="403"/>
      <c r="O34" s="403"/>
      <c r="P34" s="403"/>
    </row>
    <row r="35" ht="13.5" thickBot="1">
      <c r="A35" s="625" t="s">
        <v>1547</v>
      </c>
    </row>
    <row r="36" spans="1:18" ht="24.75" customHeight="1">
      <c r="A36" s="2112" t="s">
        <v>494</v>
      </c>
      <c r="B36" s="2113"/>
      <c r="C36" s="2113"/>
      <c r="D36" s="2113"/>
      <c r="E36" s="2113"/>
      <c r="F36" s="2113"/>
      <c r="G36" s="2108" t="s">
        <v>1549</v>
      </c>
      <c r="H36" s="2108"/>
      <c r="I36" s="2108" t="s">
        <v>1550</v>
      </c>
      <c r="J36" s="2108"/>
      <c r="K36" s="2108"/>
      <c r="L36" s="2108"/>
      <c r="M36" s="2108"/>
      <c r="N36" s="2108" t="s">
        <v>1551</v>
      </c>
      <c r="O36" s="2108"/>
      <c r="P36" s="2108"/>
      <c r="Q36" s="2108"/>
      <c r="R36" s="2111"/>
    </row>
    <row r="37" spans="1:18" ht="24.75" customHeight="1">
      <c r="A37" s="2109"/>
      <c r="B37" s="2110"/>
      <c r="C37" s="2110"/>
      <c r="D37" s="2110"/>
      <c r="E37" s="2110"/>
      <c r="F37" s="2110"/>
      <c r="G37" s="2168"/>
      <c r="H37" s="2168"/>
      <c r="I37" s="2166"/>
      <c r="J37" s="2166"/>
      <c r="K37" s="2166"/>
      <c r="L37" s="2166"/>
      <c r="M37" s="2166"/>
      <c r="N37" s="2166"/>
      <c r="O37" s="2166"/>
      <c r="P37" s="2166"/>
      <c r="Q37" s="2166"/>
      <c r="R37" s="2167"/>
    </row>
    <row r="38" spans="1:18" ht="24.75" customHeight="1">
      <c r="A38" s="2109"/>
      <c r="B38" s="2110"/>
      <c r="C38" s="2110"/>
      <c r="D38" s="2110"/>
      <c r="E38" s="2110"/>
      <c r="F38" s="2110"/>
      <c r="G38" s="2168"/>
      <c r="H38" s="2168"/>
      <c r="I38" s="2166"/>
      <c r="J38" s="2166"/>
      <c r="K38" s="2166"/>
      <c r="L38" s="2166"/>
      <c r="M38" s="2166"/>
      <c r="N38" s="2166"/>
      <c r="O38" s="2166"/>
      <c r="P38" s="2166"/>
      <c r="Q38" s="2166"/>
      <c r="R38" s="2167"/>
    </row>
    <row r="39" spans="1:18" ht="24.75" customHeight="1">
      <c r="A39" s="2109"/>
      <c r="B39" s="2110"/>
      <c r="C39" s="2110"/>
      <c r="D39" s="2110"/>
      <c r="E39" s="2110"/>
      <c r="F39" s="2110"/>
      <c r="G39" s="2168"/>
      <c r="H39" s="2168"/>
      <c r="I39" s="2166"/>
      <c r="J39" s="2166"/>
      <c r="K39" s="2166"/>
      <c r="L39" s="2166"/>
      <c r="M39" s="2166"/>
      <c r="N39" s="2166"/>
      <c r="O39" s="2166"/>
      <c r="P39" s="2166"/>
      <c r="Q39" s="2166"/>
      <c r="R39" s="2167"/>
    </row>
    <row r="40" spans="1:18" ht="24.75" customHeight="1">
      <c r="A40" s="2109"/>
      <c r="B40" s="2110"/>
      <c r="C40" s="2110"/>
      <c r="D40" s="2110"/>
      <c r="E40" s="2110"/>
      <c r="F40" s="2110"/>
      <c r="G40" s="2168"/>
      <c r="H40" s="2168"/>
      <c r="I40" s="2166"/>
      <c r="J40" s="2166"/>
      <c r="K40" s="2166"/>
      <c r="L40" s="2166"/>
      <c r="M40" s="2166"/>
      <c r="N40" s="2166"/>
      <c r="O40" s="2166"/>
      <c r="P40" s="2166"/>
      <c r="Q40" s="2166"/>
      <c r="R40" s="2167"/>
    </row>
    <row r="41" spans="1:18" ht="24.75" customHeight="1">
      <c r="A41" s="2109"/>
      <c r="B41" s="2110"/>
      <c r="C41" s="2110"/>
      <c r="D41" s="2110"/>
      <c r="E41" s="2110"/>
      <c r="F41" s="2110"/>
      <c r="G41" s="2168"/>
      <c r="H41" s="2168"/>
      <c r="I41" s="2166"/>
      <c r="J41" s="2166"/>
      <c r="K41" s="2166"/>
      <c r="L41" s="2166"/>
      <c r="M41" s="2166"/>
      <c r="N41" s="2166"/>
      <c r="O41" s="2166"/>
      <c r="P41" s="2166"/>
      <c r="Q41" s="2166"/>
      <c r="R41" s="2167"/>
    </row>
    <row r="42" spans="1:18" ht="24.75" customHeight="1" thickBot="1">
      <c r="A42" s="2169"/>
      <c r="B42" s="2170"/>
      <c r="C42" s="2170"/>
      <c r="D42" s="2170"/>
      <c r="E42" s="2170"/>
      <c r="F42" s="2170"/>
      <c r="G42" s="2171"/>
      <c r="H42" s="2171"/>
      <c r="I42" s="2106"/>
      <c r="J42" s="2106"/>
      <c r="K42" s="2106"/>
      <c r="L42" s="2106"/>
      <c r="M42" s="2106"/>
      <c r="N42" s="2106"/>
      <c r="O42" s="2106"/>
      <c r="P42" s="2106"/>
      <c r="Q42" s="2106"/>
      <c r="R42" s="2107"/>
    </row>
  </sheetData>
  <mergeCells count="113">
    <mergeCell ref="G22:H22"/>
    <mergeCell ref="I22:M22"/>
    <mergeCell ref="N22:R22"/>
    <mergeCell ref="A21:F21"/>
    <mergeCell ref="N18:R18"/>
    <mergeCell ref="A19:F19"/>
    <mergeCell ref="G19:H19"/>
    <mergeCell ref="I19:M19"/>
    <mergeCell ref="N19:R19"/>
    <mergeCell ref="N10:R10"/>
    <mergeCell ref="N11:R11"/>
    <mergeCell ref="N12:R12"/>
    <mergeCell ref="N13:R13"/>
    <mergeCell ref="A8:F8"/>
    <mergeCell ref="N33:R33"/>
    <mergeCell ref="A33:F33"/>
    <mergeCell ref="G33:H33"/>
    <mergeCell ref="I33:M33"/>
    <mergeCell ref="N32:R32"/>
    <mergeCell ref="A32:F32"/>
    <mergeCell ref="G32:H32"/>
    <mergeCell ref="I32:M32"/>
    <mergeCell ref="N31:R31"/>
    <mergeCell ref="A31:F31"/>
    <mergeCell ref="G31:H31"/>
    <mergeCell ref="I31:M31"/>
    <mergeCell ref="N30:R30"/>
    <mergeCell ref="A30:F30"/>
    <mergeCell ref="G30:H30"/>
    <mergeCell ref="I30:M30"/>
    <mergeCell ref="N29:R29"/>
    <mergeCell ref="A29:F29"/>
    <mergeCell ref="G29:H29"/>
    <mergeCell ref="I29:M29"/>
    <mergeCell ref="N28:R28"/>
    <mergeCell ref="A28:F28"/>
    <mergeCell ref="G28:H28"/>
    <mergeCell ref="I28:M28"/>
    <mergeCell ref="N27:R27"/>
    <mergeCell ref="A27:F27"/>
    <mergeCell ref="G27:H27"/>
    <mergeCell ref="I27:M27"/>
    <mergeCell ref="A42:F42"/>
    <mergeCell ref="G42:H42"/>
    <mergeCell ref="I42:M42"/>
    <mergeCell ref="N42:R42"/>
    <mergeCell ref="A41:F41"/>
    <mergeCell ref="G41:H41"/>
    <mergeCell ref="I41:M41"/>
    <mergeCell ref="N41:R41"/>
    <mergeCell ref="A40:F40"/>
    <mergeCell ref="G40:H40"/>
    <mergeCell ref="I40:M40"/>
    <mergeCell ref="N40:R40"/>
    <mergeCell ref="A39:F39"/>
    <mergeCell ref="G39:H39"/>
    <mergeCell ref="I39:M39"/>
    <mergeCell ref="N39:R39"/>
    <mergeCell ref="A38:F38"/>
    <mergeCell ref="G38:H38"/>
    <mergeCell ref="I38:M38"/>
    <mergeCell ref="N38:R38"/>
    <mergeCell ref="A37:F37"/>
    <mergeCell ref="G37:H37"/>
    <mergeCell ref="I37:M37"/>
    <mergeCell ref="N37:R37"/>
    <mergeCell ref="A36:F36"/>
    <mergeCell ref="G36:H36"/>
    <mergeCell ref="I36:M36"/>
    <mergeCell ref="N36:R36"/>
    <mergeCell ref="A24:F24"/>
    <mergeCell ref="G24:H24"/>
    <mergeCell ref="I24:M24"/>
    <mergeCell ref="N24:R24"/>
    <mergeCell ref="I20:M20"/>
    <mergeCell ref="N20:R20"/>
    <mergeCell ref="A23:F23"/>
    <mergeCell ref="G23:H23"/>
    <mergeCell ref="I23:M23"/>
    <mergeCell ref="N23:R23"/>
    <mergeCell ref="G21:H21"/>
    <mergeCell ref="I21:M21"/>
    <mergeCell ref="N21:R21"/>
    <mergeCell ref="A22:F22"/>
    <mergeCell ref="G10:H10"/>
    <mergeCell ref="G11:H11"/>
    <mergeCell ref="G12:H12"/>
    <mergeCell ref="A20:F20"/>
    <mergeCell ref="G20:H20"/>
    <mergeCell ref="A15:F15"/>
    <mergeCell ref="A18:F18"/>
    <mergeCell ref="G13:H13"/>
    <mergeCell ref="G14:H14"/>
    <mergeCell ref="G15:H15"/>
    <mergeCell ref="I15:M15"/>
    <mergeCell ref="A11:F11"/>
    <mergeCell ref="A12:F12"/>
    <mergeCell ref="N14:R14"/>
    <mergeCell ref="A13:F13"/>
    <mergeCell ref="A14:F14"/>
    <mergeCell ref="I12:M12"/>
    <mergeCell ref="I13:M13"/>
    <mergeCell ref="I14:M14"/>
    <mergeCell ref="G9:H9"/>
    <mergeCell ref="A10:F10"/>
    <mergeCell ref="I18:M18"/>
    <mergeCell ref="N9:R9"/>
    <mergeCell ref="I9:M9"/>
    <mergeCell ref="A9:F9"/>
    <mergeCell ref="N15:R15"/>
    <mergeCell ref="G18:H18"/>
    <mergeCell ref="I10:M10"/>
    <mergeCell ref="I11:M11"/>
  </mergeCells>
  <printOptions horizontalCentered="1"/>
  <pageMargins left="0.59" right="0.61" top="0.61" bottom="0.984251968503937" header="0.41" footer="0.5118110236220472"/>
  <pageSetup horizontalDpi="600" verticalDpi="600" orientation="portrait" paperSize="9" scale="96" r:id="rId1"/>
  <headerFooter alignWithMargins="0">
    <oddFooter>&amp;C&amp;P/&amp;N&amp;R&amp;A</oddFooter>
  </headerFooter>
</worksheet>
</file>

<file path=xl/worksheets/sheet14.xml><?xml version="1.0" encoding="utf-8"?>
<worksheet xmlns="http://schemas.openxmlformats.org/spreadsheetml/2006/main" xmlns:r="http://schemas.openxmlformats.org/officeDocument/2006/relationships">
  <sheetPr codeName="Munka13"/>
  <dimension ref="A1:T129"/>
  <sheetViews>
    <sheetView workbookViewId="0" topLeftCell="A109">
      <selection activeCell="L130" sqref="L130"/>
    </sheetView>
  </sheetViews>
  <sheetFormatPr defaultColWidth="9.00390625" defaultRowHeight="12.75"/>
  <cols>
    <col min="1" max="2" width="9.125" style="388" customWidth="1"/>
    <col min="3" max="3" width="8.75390625" style="388" customWidth="1"/>
    <col min="4" max="5" width="11.875" style="388" customWidth="1"/>
    <col min="6" max="6" width="11.375" style="388" customWidth="1"/>
    <col min="7" max="7" width="9.625" style="388" customWidth="1"/>
    <col min="8" max="8" width="13.625" style="388" customWidth="1"/>
    <col min="9" max="16384" width="9.125" style="388" customWidth="1"/>
  </cols>
  <sheetData>
    <row r="1" spans="1:11" ht="12.75">
      <c r="A1" s="387" t="str">
        <f>'I.A.2'!A1</f>
        <v>Komáromi Távhő Kft</v>
      </c>
      <c r="H1" s="389" t="str">
        <f>'I.A.1'!R1</f>
        <v>Kiegészítő melléklet 2016. december 31.Hőszolgáltatás </v>
      </c>
      <c r="K1" s="733" t="s">
        <v>854</v>
      </c>
    </row>
    <row r="2" spans="1:11" ht="12.75">
      <c r="A2" s="387"/>
      <c r="H2" s="389" t="str">
        <f>'I.A.1'!R2</f>
        <v>I. Általános kiegészítések</v>
      </c>
      <c r="K2" s="733" t="s">
        <v>855</v>
      </c>
    </row>
    <row r="3" spans="1:12" ht="12.75">
      <c r="A3" s="390" t="str">
        <f>'I.A.1'!A3</f>
        <v>A közzétett adatokat könyvvizsgáló ellenőrizte</v>
      </c>
      <c r="B3" s="391"/>
      <c r="C3" s="391"/>
      <c r="D3" s="391"/>
      <c r="E3" s="391"/>
      <c r="F3" s="391"/>
      <c r="G3" s="391"/>
      <c r="H3" s="392"/>
      <c r="K3" s="733"/>
      <c r="L3" s="733"/>
    </row>
    <row r="4" spans="1:15" ht="12.75">
      <c r="A4" s="390"/>
      <c r="B4" s="391"/>
      <c r="C4" s="391"/>
      <c r="D4" s="391"/>
      <c r="E4" s="391"/>
      <c r="F4" s="391"/>
      <c r="G4" s="391"/>
      <c r="H4" s="392"/>
      <c r="K4" s="734" t="s">
        <v>89</v>
      </c>
      <c r="L4" s="734"/>
      <c r="M4" s="403"/>
      <c r="N4" s="403"/>
      <c r="O4" s="403"/>
    </row>
    <row r="5" spans="1:16" s="628" customFormat="1" ht="16.5">
      <c r="A5" s="723" t="s">
        <v>834</v>
      </c>
      <c r="B5" s="724"/>
      <c r="C5" s="724"/>
      <c r="D5" s="725"/>
      <c r="E5" s="724"/>
      <c r="F5" s="724"/>
      <c r="G5" s="724"/>
      <c r="H5" s="718"/>
      <c r="K5" s="735" t="s">
        <v>85</v>
      </c>
      <c r="L5" s="735"/>
      <c r="M5" s="404"/>
      <c r="N5" s="404"/>
      <c r="O5" s="404"/>
      <c r="P5" s="404"/>
    </row>
    <row r="6" spans="2:12" s="628" customFormat="1" ht="12.75">
      <c r="B6" s="719"/>
      <c r="C6" s="719"/>
      <c r="D6" s="719"/>
      <c r="E6" s="719"/>
      <c r="F6" s="719"/>
      <c r="G6" s="719"/>
      <c r="H6" s="720"/>
      <c r="K6" s="736"/>
      <c r="L6" s="736"/>
    </row>
    <row r="7" spans="1:14" ht="15">
      <c r="A7" s="629" t="s">
        <v>835</v>
      </c>
      <c r="B7" s="393"/>
      <c r="C7" s="393"/>
      <c r="D7" s="393"/>
      <c r="E7" s="393"/>
      <c r="F7" s="393"/>
      <c r="G7" s="393"/>
      <c r="H7" s="396"/>
      <c r="K7" s="735" t="s">
        <v>1587</v>
      </c>
      <c r="L7" s="735"/>
      <c r="M7" s="404"/>
      <c r="N7" s="404"/>
    </row>
    <row r="8" spans="1:20" ht="15" customHeight="1">
      <c r="A8" s="721"/>
      <c r="B8" s="393"/>
      <c r="C8" s="393"/>
      <c r="D8" s="393"/>
      <c r="E8" s="393"/>
      <c r="F8" s="393"/>
      <c r="G8" s="393"/>
      <c r="H8" s="396"/>
      <c r="J8" s="404"/>
      <c r="K8" s="735" t="s">
        <v>1037</v>
      </c>
      <c r="L8" s="735"/>
      <c r="M8" s="404"/>
      <c r="N8" s="404"/>
      <c r="O8" s="404"/>
      <c r="P8" s="404"/>
      <c r="Q8" s="404"/>
      <c r="R8" s="404"/>
      <c r="S8" s="404"/>
      <c r="T8" s="404"/>
    </row>
    <row r="9" spans="1:20" ht="15">
      <c r="A9" s="402" t="s">
        <v>1735</v>
      </c>
      <c r="B9" s="397"/>
      <c r="J9" s="404"/>
      <c r="K9" s="735"/>
      <c r="L9" s="735"/>
      <c r="M9" s="404"/>
      <c r="N9" s="404"/>
      <c r="O9" s="404"/>
      <c r="P9" s="404"/>
      <c r="Q9" s="404"/>
      <c r="R9" s="404"/>
      <c r="S9" s="404"/>
      <c r="T9" s="404"/>
    </row>
    <row r="10" spans="1:20" ht="15">
      <c r="A10" s="402"/>
      <c r="B10" s="397"/>
      <c r="J10" s="404"/>
      <c r="K10" s="735"/>
      <c r="L10" s="735"/>
      <c r="M10" s="404"/>
      <c r="N10" s="404"/>
      <c r="O10" s="404"/>
      <c r="P10" s="404"/>
      <c r="Q10" s="404"/>
      <c r="R10" s="404"/>
      <c r="S10" s="404"/>
      <c r="T10" s="404"/>
    </row>
    <row r="11" spans="1:12" ht="12.75">
      <c r="A11" s="398" t="s">
        <v>1736</v>
      </c>
      <c r="K11" s="733"/>
      <c r="L11" s="733"/>
    </row>
    <row r="12" spans="1:12" ht="27.75" customHeight="1">
      <c r="A12" s="2180" t="s">
        <v>1737</v>
      </c>
      <c r="B12" s="2180"/>
      <c r="C12" s="2180"/>
      <c r="D12" s="2180"/>
      <c r="E12" s="2180"/>
      <c r="F12" s="2180"/>
      <c r="G12" s="2180"/>
      <c r="H12" s="2180"/>
      <c r="I12" s="400"/>
      <c r="K12" s="733"/>
      <c r="L12" s="733"/>
    </row>
    <row r="13" spans="11:12" ht="12.75">
      <c r="K13" s="733"/>
      <c r="L13" s="733"/>
    </row>
    <row r="14" spans="1:2" ht="12.75">
      <c r="A14" s="402" t="s">
        <v>1028</v>
      </c>
      <c r="B14" s="401"/>
    </row>
    <row r="15" spans="1:2" ht="12.75">
      <c r="A15" s="402"/>
      <c r="B15" s="401"/>
    </row>
    <row r="16" spans="1:2" ht="12.75">
      <c r="A16" s="398" t="s">
        <v>1738</v>
      </c>
      <c r="B16" s="401"/>
    </row>
    <row r="17" spans="1:9" ht="27.75" customHeight="1">
      <c r="A17" s="2180" t="s">
        <v>1739</v>
      </c>
      <c r="B17" s="2180"/>
      <c r="C17" s="2180"/>
      <c r="D17" s="2180"/>
      <c r="E17" s="2180"/>
      <c r="F17" s="2180"/>
      <c r="G17" s="2180"/>
      <c r="H17" s="2180"/>
      <c r="I17" s="400"/>
    </row>
    <row r="18" ht="12.75">
      <c r="A18" s="388" t="s">
        <v>854</v>
      </c>
    </row>
    <row r="21" ht="12.75">
      <c r="A21" s="398" t="s">
        <v>1740</v>
      </c>
    </row>
    <row r="22" ht="12.75">
      <c r="A22" s="402" t="s">
        <v>1741</v>
      </c>
    </row>
    <row r="23" spans="1:5" ht="12.75">
      <c r="A23" s="2176" t="s">
        <v>89</v>
      </c>
      <c r="B23" s="2176"/>
      <c r="C23" s="2176"/>
      <c r="D23" s="2176"/>
      <c r="E23" s="2176"/>
    </row>
    <row r="25" spans="1:3" ht="12.75">
      <c r="A25" s="405" t="s">
        <v>1742</v>
      </c>
      <c r="B25" s="405"/>
      <c r="C25" s="405"/>
    </row>
    <row r="26" spans="1:9" ht="24.75" customHeight="1">
      <c r="A26" s="2175" t="s">
        <v>1587</v>
      </c>
      <c r="B26" s="2175"/>
      <c r="C26" s="2175"/>
      <c r="D26" s="2175"/>
      <c r="E26" s="2175"/>
      <c r="F26" s="2175"/>
      <c r="G26" s="2175"/>
      <c r="H26" s="2175"/>
      <c r="I26" s="399"/>
    </row>
    <row r="28" ht="12.75">
      <c r="A28" s="398" t="s">
        <v>1743</v>
      </c>
    </row>
    <row r="29" spans="1:9" ht="24.75" customHeight="1">
      <c r="A29" s="2174" t="s">
        <v>1744</v>
      </c>
      <c r="B29" s="2174"/>
      <c r="C29" s="2174"/>
      <c r="D29" s="2174"/>
      <c r="E29" s="2174"/>
      <c r="F29" s="2174"/>
      <c r="G29" s="2174"/>
      <c r="H29" s="2174"/>
      <c r="I29" s="407"/>
    </row>
    <row r="30" spans="1:9" ht="12.75">
      <c r="A30" s="406"/>
      <c r="B30" s="406"/>
      <c r="C30" s="406"/>
      <c r="D30" s="406"/>
      <c r="E30" s="406"/>
      <c r="F30" s="406"/>
      <c r="G30" s="406"/>
      <c r="H30" s="406"/>
      <c r="I30" s="407"/>
    </row>
    <row r="31" spans="1:9" ht="12.75">
      <c r="A31" s="408" t="s">
        <v>1745</v>
      </c>
      <c r="B31" s="406"/>
      <c r="C31" s="406"/>
      <c r="D31" s="406"/>
      <c r="E31" s="406"/>
      <c r="F31" s="406"/>
      <c r="G31" s="406"/>
      <c r="H31" s="406"/>
      <c r="I31" s="407"/>
    </row>
    <row r="32" spans="1:9" ht="24" customHeight="1">
      <c r="A32" s="2174" t="s">
        <v>1762</v>
      </c>
      <c r="B32" s="2174"/>
      <c r="C32" s="2174"/>
      <c r="D32" s="2174"/>
      <c r="E32" s="2174"/>
      <c r="F32" s="2174"/>
      <c r="G32" s="2174"/>
      <c r="H32" s="2174"/>
      <c r="I32" s="407"/>
    </row>
    <row r="33" spans="1:9" ht="12.75">
      <c r="A33" s="406"/>
      <c r="B33" s="406"/>
      <c r="C33" s="406"/>
      <c r="D33" s="406"/>
      <c r="E33" s="406"/>
      <c r="F33" s="406"/>
      <c r="G33" s="406"/>
      <c r="H33" s="406"/>
      <c r="I33" s="407"/>
    </row>
    <row r="34" spans="1:9" ht="12.75">
      <c r="A34" s="408" t="s">
        <v>1763</v>
      </c>
      <c r="B34" s="408"/>
      <c r="C34" s="408"/>
      <c r="D34" s="408"/>
      <c r="E34" s="408"/>
      <c r="F34" s="408"/>
      <c r="G34" s="408"/>
      <c r="H34" s="408"/>
      <c r="I34" s="407"/>
    </row>
    <row r="35" spans="1:9" ht="25.5" customHeight="1">
      <c r="A35" s="2174" t="s">
        <v>840</v>
      </c>
      <c r="B35" s="2174"/>
      <c r="C35" s="2174"/>
      <c r="D35" s="2174"/>
      <c r="E35" s="2174"/>
      <c r="F35" s="2174"/>
      <c r="G35" s="2174"/>
      <c r="H35" s="2174"/>
      <c r="I35" s="407"/>
    </row>
    <row r="36" spans="1:9" ht="12.75">
      <c r="A36" s="406"/>
      <c r="B36" s="406"/>
      <c r="C36" s="406"/>
      <c r="D36" s="406"/>
      <c r="E36" s="406"/>
      <c r="F36" s="406"/>
      <c r="G36" s="406"/>
      <c r="H36" s="406"/>
      <c r="I36" s="407"/>
    </row>
    <row r="37" spans="1:8" ht="12.75">
      <c r="A37" s="2179" t="s">
        <v>841</v>
      </c>
      <c r="B37" s="2176"/>
      <c r="C37" s="2176"/>
      <c r="D37" s="2176"/>
      <c r="E37" s="2176"/>
      <c r="F37" s="2176"/>
      <c r="G37" s="2176"/>
      <c r="H37" s="2176"/>
    </row>
    <row r="38" spans="1:8" ht="12.75">
      <c r="A38" s="403" t="s">
        <v>842</v>
      </c>
      <c r="B38" s="403"/>
      <c r="C38" s="403"/>
      <c r="D38" s="403"/>
      <c r="E38" s="403"/>
      <c r="F38" s="403"/>
      <c r="G38" s="403"/>
      <c r="H38" s="403"/>
    </row>
    <row r="40" spans="1:2" ht="12.75">
      <c r="A40" s="2177" t="s">
        <v>843</v>
      </c>
      <c r="B40" s="2178"/>
    </row>
    <row r="42" spans="1:8" ht="12.75">
      <c r="A42" s="2179" t="s">
        <v>182</v>
      </c>
      <c r="B42" s="2176"/>
      <c r="C42" s="2176"/>
      <c r="D42" s="2176"/>
      <c r="E42" s="2176"/>
      <c r="F42" s="2176"/>
      <c r="G42" s="2176"/>
      <c r="H42" s="2176"/>
    </row>
    <row r="43" spans="1:8" ht="12.75">
      <c r="A43" s="403" t="s">
        <v>844</v>
      </c>
      <c r="B43" s="403"/>
      <c r="C43" s="403"/>
      <c r="D43" s="403"/>
      <c r="E43" s="403"/>
      <c r="F43" s="403"/>
      <c r="G43" s="403"/>
      <c r="H43" s="403"/>
    </row>
    <row r="44" spans="1:8" ht="12.75">
      <c r="A44" s="403"/>
      <c r="B44" s="403"/>
      <c r="C44" s="403"/>
      <c r="D44" s="403"/>
      <c r="E44" s="403"/>
      <c r="F44" s="403"/>
      <c r="G44" s="403"/>
      <c r="H44" s="403"/>
    </row>
    <row r="45" spans="1:8" ht="12.75">
      <c r="A45" s="2179" t="s">
        <v>183</v>
      </c>
      <c r="B45" s="2176"/>
      <c r="C45" s="2176"/>
      <c r="D45" s="2176"/>
      <c r="E45" s="2176"/>
      <c r="F45" s="2176"/>
      <c r="G45" s="2176"/>
      <c r="H45" s="2176"/>
    </row>
    <row r="46" spans="1:8" ht="12.75">
      <c r="A46" s="403" t="s">
        <v>845</v>
      </c>
      <c r="B46" s="403"/>
      <c r="C46" s="403"/>
      <c r="D46" s="403"/>
      <c r="E46" s="403"/>
      <c r="F46" s="403"/>
      <c r="G46" s="403"/>
      <c r="H46" s="403"/>
    </row>
    <row r="47" spans="1:8" ht="12.75">
      <c r="A47" s="403"/>
      <c r="B47" s="403"/>
      <c r="C47" s="403"/>
      <c r="D47" s="403"/>
      <c r="E47" s="403"/>
      <c r="F47" s="403"/>
      <c r="G47" s="403"/>
      <c r="H47" s="403"/>
    </row>
    <row r="48" spans="1:9" ht="12.75">
      <c r="A48" s="2173" t="s">
        <v>184</v>
      </c>
      <c r="B48" s="2173"/>
      <c r="C48" s="2173"/>
      <c r="D48" s="2173"/>
      <c r="E48" s="2173"/>
      <c r="F48" s="2173"/>
      <c r="G48" s="2173"/>
      <c r="H48" s="2173"/>
      <c r="I48" s="407"/>
    </row>
    <row r="49" spans="1:9" ht="24.75" customHeight="1">
      <c r="A49" s="2174" t="s">
        <v>1782</v>
      </c>
      <c r="B49" s="2174"/>
      <c r="C49" s="2174"/>
      <c r="D49" s="2174"/>
      <c r="E49" s="2174"/>
      <c r="F49" s="2174"/>
      <c r="G49" s="2174"/>
      <c r="H49" s="2174"/>
      <c r="I49" s="407"/>
    </row>
    <row r="50" spans="1:9" ht="12.75">
      <c r="A50" s="406"/>
      <c r="B50" s="406"/>
      <c r="C50" s="406"/>
      <c r="D50" s="406"/>
      <c r="E50" s="406"/>
      <c r="F50" s="406"/>
      <c r="G50" s="406"/>
      <c r="H50" s="406"/>
      <c r="I50" s="407"/>
    </row>
    <row r="51" spans="1:8" ht="12.75">
      <c r="A51" s="2179" t="s">
        <v>1783</v>
      </c>
      <c r="B51" s="2179"/>
      <c r="C51" s="2179"/>
      <c r="D51" s="2179"/>
      <c r="E51" s="2179"/>
      <c r="F51" s="2179"/>
      <c r="G51" s="2179"/>
      <c r="H51" s="2179"/>
    </row>
    <row r="52" spans="1:8" ht="12.75">
      <c r="A52" s="403" t="s">
        <v>842</v>
      </c>
      <c r="B52" s="403"/>
      <c r="C52" s="403"/>
      <c r="D52" s="403"/>
      <c r="E52" s="403"/>
      <c r="F52" s="403"/>
      <c r="G52" s="403"/>
      <c r="H52" s="403"/>
    </row>
    <row r="53" spans="1:8" ht="12.75">
      <c r="A53" s="403"/>
      <c r="B53" s="403"/>
      <c r="C53" s="403"/>
      <c r="D53" s="403"/>
      <c r="E53" s="403"/>
      <c r="F53" s="403"/>
      <c r="G53" s="403"/>
      <c r="H53" s="403"/>
    </row>
    <row r="54" spans="1:13" ht="30.75" customHeight="1">
      <c r="A54" s="2181" t="s">
        <v>836</v>
      </c>
      <c r="B54" s="2181"/>
      <c r="C54" s="2181"/>
      <c r="D54" s="2181"/>
      <c r="E54" s="2181"/>
      <c r="F54" s="2181"/>
      <c r="G54" s="2181"/>
      <c r="H54" s="2181"/>
      <c r="I54" s="413"/>
      <c r="J54" s="413"/>
      <c r="K54" s="413"/>
      <c r="L54" s="413"/>
      <c r="M54" s="413"/>
    </row>
    <row r="55" spans="1:13" ht="12.75" customHeight="1">
      <c r="A55" s="414"/>
      <c r="B55" s="414"/>
      <c r="C55" s="414"/>
      <c r="D55" s="414"/>
      <c r="E55" s="414"/>
      <c r="F55" s="414"/>
      <c r="G55" s="414"/>
      <c r="H55" s="413"/>
      <c r="I55" s="413"/>
      <c r="J55" s="413"/>
      <c r="K55" s="413"/>
      <c r="L55" s="413"/>
      <c r="M55" s="413"/>
    </row>
    <row r="56" spans="1:2" ht="15">
      <c r="A56" s="398" t="s">
        <v>502</v>
      </c>
      <c r="B56" s="397"/>
    </row>
    <row r="58" spans="1:4" s="404" customFormat="1" ht="12.75">
      <c r="A58" s="2182" t="s">
        <v>1784</v>
      </c>
      <c r="B58" s="2182"/>
      <c r="C58" s="2182"/>
      <c r="D58" s="2182"/>
    </row>
    <row r="59" spans="1:4" s="404" customFormat="1" ht="12.75">
      <c r="A59" s="2176" t="s">
        <v>1785</v>
      </c>
      <c r="B59" s="2176"/>
      <c r="C59" s="2176"/>
      <c r="D59" s="2176"/>
    </row>
    <row r="60" s="404" customFormat="1" ht="12.75"/>
    <row r="61" spans="1:4" s="404" customFormat="1" ht="12.75">
      <c r="A61" s="2176" t="s">
        <v>1786</v>
      </c>
      <c r="B61" s="2176"/>
      <c r="C61" s="2176"/>
      <c r="D61" s="2176"/>
    </row>
    <row r="62" s="404" customFormat="1" ht="12.75"/>
    <row r="63" spans="1:4" s="404" customFormat="1" ht="12.75">
      <c r="A63" s="2176" t="s">
        <v>862</v>
      </c>
      <c r="B63" s="2176"/>
      <c r="C63" s="2176"/>
      <c r="D63" s="2176"/>
    </row>
    <row r="64" s="404" customFormat="1" ht="12.75"/>
    <row r="65" spans="1:4" s="404" customFormat="1" ht="12.75">
      <c r="A65" s="2176" t="s">
        <v>863</v>
      </c>
      <c r="B65" s="2176"/>
      <c r="C65" s="2176"/>
      <c r="D65" s="2176"/>
    </row>
    <row r="66" spans="1:4" s="404" customFormat="1" ht="12.75">
      <c r="A66" s="2176" t="s">
        <v>864</v>
      </c>
      <c r="B66" s="2176"/>
      <c r="C66" s="2176"/>
      <c r="D66" s="2176"/>
    </row>
    <row r="67" spans="1:4" s="404" customFormat="1" ht="12.75">
      <c r="A67" s="2176" t="s">
        <v>865</v>
      </c>
      <c r="B67" s="2176"/>
      <c r="C67" s="2176"/>
      <c r="D67" s="2176"/>
    </row>
    <row r="68" s="404" customFormat="1" ht="12.75"/>
    <row r="69" spans="1:4" s="404" customFormat="1" ht="12.75">
      <c r="A69" s="2176" t="s">
        <v>866</v>
      </c>
      <c r="B69" s="2176"/>
      <c r="C69" s="2176"/>
      <c r="D69" s="2176"/>
    </row>
    <row r="70" spans="1:4" s="404" customFormat="1" ht="12.75">
      <c r="A70" s="403" t="s">
        <v>1791</v>
      </c>
      <c r="B70" s="403"/>
      <c r="C70" s="403"/>
      <c r="D70" s="403"/>
    </row>
    <row r="72" spans="1:3" ht="15.75">
      <c r="A72" s="398" t="s">
        <v>1792</v>
      </c>
      <c r="B72" s="415"/>
      <c r="C72" s="415"/>
    </row>
    <row r="74" s="628" customFormat="1" ht="12.75">
      <c r="A74" s="628" t="s">
        <v>1793</v>
      </c>
    </row>
    <row r="75" s="628" customFormat="1" ht="12.75">
      <c r="A75" s="628" t="s">
        <v>1794</v>
      </c>
    </row>
    <row r="77" ht="15">
      <c r="A77" s="416" t="s">
        <v>837</v>
      </c>
    </row>
    <row r="79" spans="1:6" ht="12.75">
      <c r="A79" s="410" t="s">
        <v>185</v>
      </c>
      <c r="B79" s="403"/>
      <c r="C79" s="403"/>
      <c r="D79" s="403"/>
      <c r="E79" s="403"/>
      <c r="F79" s="407"/>
    </row>
    <row r="81" spans="1:7" ht="12.75">
      <c r="A81" s="2178" t="s">
        <v>186</v>
      </c>
      <c r="B81" s="2176"/>
      <c r="C81" s="2176"/>
      <c r="D81" s="2176"/>
      <c r="E81" s="2176"/>
      <c r="F81" s="2182"/>
      <c r="G81" s="2182"/>
    </row>
    <row r="83" spans="1:8" ht="27.75" customHeight="1">
      <c r="A83" s="2183" t="s">
        <v>187</v>
      </c>
      <c r="B83" s="2183"/>
      <c r="C83" s="2183"/>
      <c r="D83" s="2183"/>
      <c r="E83" s="2183"/>
      <c r="F83" s="2183"/>
      <c r="G83" s="2183"/>
      <c r="H83" s="2183"/>
    </row>
    <row r="85" spans="1:3" ht="12.75">
      <c r="A85" s="2178" t="s">
        <v>188</v>
      </c>
      <c r="B85" s="2176"/>
      <c r="C85" s="2176"/>
    </row>
    <row r="87" spans="1:8" ht="25.5" customHeight="1">
      <c r="A87" s="2183" t="s">
        <v>195</v>
      </c>
      <c r="B87" s="2183"/>
      <c r="C87" s="2183"/>
      <c r="D87" s="2183"/>
      <c r="E87" s="2183"/>
      <c r="F87" s="2183"/>
      <c r="G87" s="2183"/>
      <c r="H87" s="2183"/>
    </row>
    <row r="89" spans="1:8" ht="44.25" customHeight="1">
      <c r="A89" s="2183" t="s">
        <v>1628</v>
      </c>
      <c r="B89" s="2183"/>
      <c r="C89" s="2183"/>
      <c r="D89" s="2183"/>
      <c r="E89" s="2183"/>
      <c r="F89" s="2183"/>
      <c r="G89" s="2183"/>
      <c r="H89" s="2183"/>
    </row>
    <row r="91" spans="1:8" ht="32.25" customHeight="1">
      <c r="A91" s="2174" t="s">
        <v>196</v>
      </c>
      <c r="B91" s="2174"/>
      <c r="C91" s="2174"/>
      <c r="D91" s="2174"/>
      <c r="E91" s="2174"/>
      <c r="F91" s="2174"/>
      <c r="G91" s="2174"/>
      <c r="H91" s="2174"/>
    </row>
    <row r="93" spans="1:8" ht="27.75" customHeight="1">
      <c r="A93" s="2174" t="s">
        <v>1692</v>
      </c>
      <c r="B93" s="2174"/>
      <c r="C93" s="2174"/>
      <c r="D93" s="2174"/>
      <c r="E93" s="2174"/>
      <c r="F93" s="2174"/>
      <c r="G93" s="2174"/>
      <c r="H93" s="2174"/>
    </row>
    <row r="94" ht="38.25" customHeight="1"/>
    <row r="95" spans="1:7" ht="12.75">
      <c r="A95" s="409"/>
      <c r="B95" s="403"/>
      <c r="C95" s="403"/>
      <c r="D95" s="403"/>
      <c r="E95" s="403"/>
      <c r="F95" s="403"/>
      <c r="G95" s="403"/>
    </row>
    <row r="96" s="398" customFormat="1" ht="15">
      <c r="A96" s="416" t="s">
        <v>838</v>
      </c>
    </row>
    <row r="97" s="398" customFormat="1" ht="15">
      <c r="A97" s="416"/>
    </row>
    <row r="98" spans="1:8" s="404" customFormat="1" ht="26.25" customHeight="1">
      <c r="A98" s="2183" t="s">
        <v>942</v>
      </c>
      <c r="B98" s="2174"/>
      <c r="C98" s="2174"/>
      <c r="D98" s="2174"/>
      <c r="E98" s="2174"/>
      <c r="F98" s="2174"/>
      <c r="G98" s="2174"/>
      <c r="H98" s="2174"/>
    </row>
    <row r="99" s="404" customFormat="1" ht="12.75"/>
    <row r="100" spans="1:8" s="404" customFormat="1" ht="36" customHeight="1">
      <c r="A100" s="2174" t="s">
        <v>943</v>
      </c>
      <c r="B100" s="2174"/>
      <c r="C100" s="2174"/>
      <c r="D100" s="2174"/>
      <c r="E100" s="2174"/>
      <c r="F100" s="2174"/>
      <c r="G100" s="2174"/>
      <c r="H100" s="2174"/>
    </row>
    <row r="101" spans="1:7" s="404" customFormat="1" ht="12.75">
      <c r="A101" s="403"/>
      <c r="B101" s="403"/>
      <c r="C101" s="403"/>
      <c r="D101" s="403"/>
      <c r="E101" s="403"/>
      <c r="F101" s="403"/>
      <c r="G101" s="403"/>
    </row>
    <row r="102" spans="1:8" s="404" customFormat="1" ht="29.25" customHeight="1">
      <c r="A102" s="2183" t="s">
        <v>944</v>
      </c>
      <c r="B102" s="2183"/>
      <c r="C102" s="2183"/>
      <c r="D102" s="2183"/>
      <c r="E102" s="2183"/>
      <c r="F102" s="2183"/>
      <c r="G102" s="2183"/>
      <c r="H102" s="2183"/>
    </row>
    <row r="103" spans="1:7" s="404" customFormat="1" ht="12.75">
      <c r="A103" s="722"/>
      <c r="B103" s="722"/>
      <c r="C103" s="722"/>
      <c r="D103" s="722"/>
      <c r="E103" s="722"/>
      <c r="F103" s="403"/>
      <c r="G103" s="403"/>
    </row>
    <row r="104" spans="1:8" s="404" customFormat="1" ht="24.75" customHeight="1">
      <c r="A104" s="2183" t="s">
        <v>945</v>
      </c>
      <c r="B104" s="2183"/>
      <c r="C104" s="2183"/>
      <c r="D104" s="2183"/>
      <c r="E104" s="2183"/>
      <c r="F104" s="2183"/>
      <c r="G104" s="2183"/>
      <c r="H104" s="2183"/>
    </row>
    <row r="105" spans="2:7" s="404" customFormat="1" ht="12.75">
      <c r="B105" s="722"/>
      <c r="C105" s="722"/>
      <c r="D105" s="722"/>
      <c r="E105" s="722"/>
      <c r="F105" s="403"/>
      <c r="G105" s="403"/>
    </row>
    <row r="106" spans="1:8" s="404" customFormat="1" ht="25.5" customHeight="1">
      <c r="A106" s="2183" t="s">
        <v>938</v>
      </c>
      <c r="B106" s="2174"/>
      <c r="C106" s="2174"/>
      <c r="D106" s="2174"/>
      <c r="E106" s="2174"/>
      <c r="F106" s="2174"/>
      <c r="G106" s="2174"/>
      <c r="H106" s="2174"/>
    </row>
    <row r="107" s="404" customFormat="1" ht="20.25" customHeight="1"/>
    <row r="108" s="404" customFormat="1" ht="15">
      <c r="A108" s="726" t="s">
        <v>839</v>
      </c>
    </row>
    <row r="109" spans="1:8" s="404" customFormat="1" ht="39.75" customHeight="1">
      <c r="A109" s="2180" t="s">
        <v>86</v>
      </c>
      <c r="B109" s="2180"/>
      <c r="C109" s="2180"/>
      <c r="D109" s="2180"/>
      <c r="E109" s="2180"/>
      <c r="F109" s="2180"/>
      <c r="G109" s="2180"/>
      <c r="H109" s="2180"/>
    </row>
    <row r="110" spans="1:14" s="404" customFormat="1" ht="33.75" customHeight="1">
      <c r="A110" s="2174" t="s">
        <v>87</v>
      </c>
      <c r="B110" s="2174"/>
      <c r="C110" s="2174"/>
      <c r="D110" s="2174"/>
      <c r="E110" s="2174"/>
      <c r="F110" s="2174"/>
      <c r="G110" s="2174"/>
      <c r="H110" s="2174"/>
      <c r="I110" s="735"/>
      <c r="J110" s="735"/>
      <c r="K110" s="735"/>
      <c r="L110" s="735"/>
      <c r="M110" s="735"/>
      <c r="N110" s="735"/>
    </row>
    <row r="111" spans="1:14" s="404" customFormat="1" ht="23.25" customHeight="1">
      <c r="A111" s="2180" t="s">
        <v>88</v>
      </c>
      <c r="B111" s="2180"/>
      <c r="C111" s="2180"/>
      <c r="D111" s="2180"/>
      <c r="E111" s="2180"/>
      <c r="F111" s="2180"/>
      <c r="G111" s="2180"/>
      <c r="H111" s="2180"/>
      <c r="I111" s="735"/>
      <c r="J111" s="730"/>
      <c r="K111" s="735"/>
      <c r="L111" s="735"/>
      <c r="M111" s="735"/>
      <c r="N111" s="735"/>
    </row>
    <row r="112" spans="1:14" s="404" customFormat="1" ht="23.25" customHeight="1">
      <c r="A112" s="2102"/>
      <c r="B112" s="2102"/>
      <c r="C112" s="2102"/>
      <c r="D112" s="2102"/>
      <c r="E112" s="2102"/>
      <c r="F112" s="2102"/>
      <c r="G112" s="2102"/>
      <c r="H112" s="2102"/>
      <c r="I112" s="735"/>
      <c r="J112" s="730"/>
      <c r="K112" s="735"/>
      <c r="L112" s="735"/>
      <c r="M112" s="735"/>
      <c r="N112" s="735"/>
    </row>
    <row r="113" spans="1:14" s="404" customFormat="1" ht="23.25" customHeight="1">
      <c r="A113" s="416" t="s">
        <v>626</v>
      </c>
      <c r="B113" s="2102"/>
      <c r="C113" s="2102"/>
      <c r="D113" s="2102"/>
      <c r="E113" s="2102"/>
      <c r="F113" s="2102"/>
      <c r="G113" s="2102"/>
      <c r="H113" s="2102"/>
      <c r="I113" s="735"/>
      <c r="J113" s="730"/>
      <c r="K113" s="735"/>
      <c r="L113" s="735"/>
      <c r="M113" s="735"/>
      <c r="N113" s="735"/>
    </row>
    <row r="114" spans="1:14" s="404" customFormat="1" ht="23.25" customHeight="1">
      <c r="A114" s="388" t="str">
        <f>Általános!A12&amp;":"</f>
        <v>Az üzleti év fordulónapja:</v>
      </c>
      <c r="B114" s="2102"/>
      <c r="C114" s="2102"/>
      <c r="D114" s="628" t="str">
        <f>Általános!B12</f>
        <v>2016.december 31. Hőszolg.</v>
      </c>
      <c r="E114" s="2102"/>
      <c r="F114" s="2102"/>
      <c r="G114" s="2102"/>
      <c r="H114" s="2102"/>
      <c r="I114" s="735"/>
      <c r="J114" s="730"/>
      <c r="K114" s="735"/>
      <c r="L114" s="735"/>
      <c r="M114" s="735"/>
      <c r="N114" s="735"/>
    </row>
    <row r="115" spans="1:14" s="404" customFormat="1" ht="23.25" customHeight="1">
      <c r="A115" s="628" t="str">
        <f>Általános!A22&amp;":"</f>
        <v>Mérlegkészítés dátuma:</v>
      </c>
      <c r="B115" s="628"/>
      <c r="C115" s="628"/>
      <c r="D115" s="2104" t="str">
        <f>Általános!B22</f>
        <v>Komárom, 2017.04.09.</v>
      </c>
      <c r="E115" s="628"/>
      <c r="F115" s="2102"/>
      <c r="G115" s="2102"/>
      <c r="H115" s="2102"/>
      <c r="I115" s="735"/>
      <c r="J115" s="730"/>
      <c r="K115" s="735"/>
      <c r="L115" s="735"/>
      <c r="M115" s="735"/>
      <c r="N115" s="735"/>
    </row>
    <row r="116" spans="1:14" s="404" customFormat="1" ht="23.25" customHeight="1">
      <c r="A116" s="628" t="str">
        <f>Általános!A13&amp;":"</f>
        <v>Mérleg összeállítás időpontja:</v>
      </c>
      <c r="B116" s="628"/>
      <c r="C116" s="628"/>
      <c r="D116" s="2104" t="str">
        <f>Általános!B13</f>
        <v>Komárom, 2016.04.29.</v>
      </c>
      <c r="E116" s="628"/>
      <c r="F116" s="2102"/>
      <c r="G116" s="2102"/>
      <c r="H116" s="2102"/>
      <c r="I116" s="735"/>
      <c r="J116" s="730"/>
      <c r="K116" s="735"/>
      <c r="L116" s="735"/>
      <c r="M116" s="735"/>
      <c r="N116" s="735"/>
    </row>
    <row r="117" spans="1:14" ht="15.75">
      <c r="A117" s="399"/>
      <c r="B117" s="399"/>
      <c r="C117" s="399"/>
      <c r="D117" s="399"/>
      <c r="E117" s="399"/>
      <c r="F117" s="399"/>
      <c r="I117" s="733"/>
      <c r="J117" s="731" t="s">
        <v>1720</v>
      </c>
      <c r="K117" s="733"/>
      <c r="L117" s="733"/>
      <c r="M117" s="733"/>
      <c r="N117" s="733"/>
    </row>
    <row r="118" spans="1:14" ht="15.75">
      <c r="A118" s="416" t="s">
        <v>627</v>
      </c>
      <c r="B118" s="415"/>
      <c r="I118" s="733"/>
      <c r="J118" s="731" t="s">
        <v>1719</v>
      </c>
      <c r="K118" s="733"/>
      <c r="L118" s="733"/>
      <c r="M118" s="733"/>
      <c r="N118" s="733"/>
    </row>
    <row r="119" spans="1:14" ht="12.75">
      <c r="A119" s="2203" t="s">
        <v>1719</v>
      </c>
      <c r="B119" s="2203"/>
      <c r="C119" s="2203"/>
      <c r="D119" s="2203"/>
      <c r="E119" s="2203"/>
      <c r="F119" s="2203"/>
      <c r="I119" s="733"/>
      <c r="J119" s="732"/>
      <c r="K119" s="733"/>
      <c r="L119" s="733"/>
      <c r="M119" s="733"/>
      <c r="N119" s="733"/>
    </row>
    <row r="120" spans="1:14" ht="12.75" hidden="1">
      <c r="A120" s="2191" t="s">
        <v>891</v>
      </c>
      <c r="B120" s="2192"/>
      <c r="C120" s="2193"/>
      <c r="D120" s="2189" t="s">
        <v>892</v>
      </c>
      <c r="E120" s="2187" t="s">
        <v>893</v>
      </c>
      <c r="F120" s="2188"/>
      <c r="I120" s="733"/>
      <c r="J120" s="733"/>
      <c r="K120" s="733"/>
      <c r="L120" s="733"/>
      <c r="M120" s="733"/>
      <c r="N120" s="733"/>
    </row>
    <row r="121" spans="1:14" ht="13.5" hidden="1" thickBot="1">
      <c r="A121" s="2194"/>
      <c r="B121" s="2195"/>
      <c r="C121" s="2196"/>
      <c r="D121" s="2190"/>
      <c r="E121" s="460" t="s">
        <v>894</v>
      </c>
      <c r="F121" s="461" t="s">
        <v>895</v>
      </c>
      <c r="I121" s="733"/>
      <c r="J121" s="733"/>
      <c r="K121" s="733"/>
      <c r="L121" s="733"/>
      <c r="M121" s="733"/>
      <c r="N121" s="733"/>
    </row>
    <row r="122" spans="1:14" ht="13.5" hidden="1" thickTop="1">
      <c r="A122" s="2197"/>
      <c r="B122" s="2198"/>
      <c r="C122" s="2199"/>
      <c r="D122" s="462"/>
      <c r="E122" s="463"/>
      <c r="F122" s="464"/>
      <c r="I122" s="733"/>
      <c r="J122" s="733"/>
      <c r="K122" s="733"/>
      <c r="L122" s="733"/>
      <c r="M122" s="733"/>
      <c r="N122" s="733"/>
    </row>
    <row r="123" spans="1:14" ht="12.75" hidden="1">
      <c r="A123" s="2200"/>
      <c r="B123" s="2201"/>
      <c r="C123" s="2202"/>
      <c r="D123" s="455"/>
      <c r="E123" s="465"/>
      <c r="F123" s="466"/>
      <c r="I123" s="733"/>
      <c r="J123" s="733"/>
      <c r="K123" s="733"/>
      <c r="L123" s="733"/>
      <c r="M123" s="733"/>
      <c r="N123" s="733"/>
    </row>
    <row r="124" spans="1:14" ht="12.75" hidden="1">
      <c r="A124" s="2200"/>
      <c r="B124" s="2201"/>
      <c r="C124" s="2202"/>
      <c r="D124" s="455"/>
      <c r="E124" s="465"/>
      <c r="F124" s="466"/>
      <c r="I124" s="733"/>
      <c r="J124" s="733"/>
      <c r="K124" s="733"/>
      <c r="L124" s="733"/>
      <c r="M124" s="733"/>
      <c r="N124" s="733"/>
    </row>
    <row r="125" spans="1:14" ht="12.75" hidden="1">
      <c r="A125" s="2200"/>
      <c r="B125" s="2201"/>
      <c r="C125" s="2202"/>
      <c r="D125" s="455"/>
      <c r="E125" s="465"/>
      <c r="F125" s="466"/>
      <c r="I125" s="733"/>
      <c r="J125" s="733"/>
      <c r="K125" s="733"/>
      <c r="L125" s="733"/>
      <c r="M125" s="733"/>
      <c r="N125" s="733"/>
    </row>
    <row r="126" spans="1:14" ht="12.75" hidden="1">
      <c r="A126" s="2200"/>
      <c r="B126" s="2201"/>
      <c r="C126" s="2202"/>
      <c r="D126" s="455"/>
      <c r="E126" s="465"/>
      <c r="F126" s="466"/>
      <c r="I126" s="733"/>
      <c r="J126" s="733"/>
      <c r="K126" s="733"/>
      <c r="L126" s="733"/>
      <c r="M126" s="733"/>
      <c r="N126" s="733"/>
    </row>
    <row r="127" spans="1:14" ht="12.75" hidden="1">
      <c r="A127" s="2200"/>
      <c r="B127" s="2201"/>
      <c r="C127" s="2202"/>
      <c r="D127" s="455"/>
      <c r="E127" s="465"/>
      <c r="F127" s="466"/>
      <c r="I127" s="733"/>
      <c r="J127" s="733"/>
      <c r="K127" s="733"/>
      <c r="L127" s="733"/>
      <c r="M127" s="733"/>
      <c r="N127" s="733"/>
    </row>
    <row r="128" spans="1:14" ht="13.5" hidden="1" thickBot="1">
      <c r="A128" s="2184"/>
      <c r="B128" s="2185"/>
      <c r="C128" s="2186"/>
      <c r="D128" s="467"/>
      <c r="E128" s="468"/>
      <c r="F128" s="469"/>
      <c r="I128" s="733"/>
      <c r="J128" s="733"/>
      <c r="K128" s="733"/>
      <c r="L128" s="733"/>
      <c r="M128" s="733"/>
      <c r="N128" s="733"/>
    </row>
    <row r="129" spans="1:14" ht="72" customHeight="1">
      <c r="A129" s="412"/>
      <c r="B129" s="403"/>
      <c r="C129" s="403"/>
      <c r="D129" s="403"/>
      <c r="E129" s="403"/>
      <c r="F129" s="403"/>
      <c r="G129" s="403"/>
      <c r="H129" s="403"/>
      <c r="I129" s="733"/>
      <c r="J129" s="733"/>
      <c r="K129" s="733"/>
      <c r="L129" s="733"/>
      <c r="M129" s="733"/>
      <c r="N129" s="733"/>
    </row>
  </sheetData>
  <mergeCells count="49">
    <mergeCell ref="A89:H89"/>
    <mergeCell ref="A91:H91"/>
    <mergeCell ref="A111:H111"/>
    <mergeCell ref="A119:F119"/>
    <mergeCell ref="A104:H104"/>
    <mergeCell ref="A106:H106"/>
    <mergeCell ref="A110:H110"/>
    <mergeCell ref="A109:H109"/>
    <mergeCell ref="A128:C128"/>
    <mergeCell ref="E120:F120"/>
    <mergeCell ref="D120:D121"/>
    <mergeCell ref="A120:C121"/>
    <mergeCell ref="A122:C122"/>
    <mergeCell ref="A123:C123"/>
    <mergeCell ref="A124:C124"/>
    <mergeCell ref="A125:C125"/>
    <mergeCell ref="A126:C126"/>
    <mergeCell ref="A127:C127"/>
    <mergeCell ref="A67:D67"/>
    <mergeCell ref="A69:D69"/>
    <mergeCell ref="A85:C85"/>
    <mergeCell ref="A102:H102"/>
    <mergeCell ref="A81:G81"/>
    <mergeCell ref="A100:H100"/>
    <mergeCell ref="A93:H93"/>
    <mergeCell ref="A98:H98"/>
    <mergeCell ref="A83:H83"/>
    <mergeCell ref="A87:H87"/>
    <mergeCell ref="A61:D61"/>
    <mergeCell ref="A63:D63"/>
    <mergeCell ref="A65:D65"/>
    <mergeCell ref="A66:D66"/>
    <mergeCell ref="A51:H51"/>
    <mergeCell ref="A54:H54"/>
    <mergeCell ref="A58:D58"/>
    <mergeCell ref="A59:D59"/>
    <mergeCell ref="A12:H12"/>
    <mergeCell ref="A17:H17"/>
    <mergeCell ref="A37:H37"/>
    <mergeCell ref="A29:H29"/>
    <mergeCell ref="A32:H32"/>
    <mergeCell ref="A35:H35"/>
    <mergeCell ref="A48:H48"/>
    <mergeCell ref="A49:H49"/>
    <mergeCell ref="A26:H26"/>
    <mergeCell ref="A23:E23"/>
    <mergeCell ref="A40:B40"/>
    <mergeCell ref="A42:H42"/>
    <mergeCell ref="A45:H45"/>
  </mergeCells>
  <dataValidations count="4">
    <dataValidation type="list" allowBlank="1" showInputMessage="1" showErrorMessage="1" sqref="A119">
      <formula1>$J$117:$J$118</formula1>
    </dataValidation>
    <dataValidation type="list" allowBlank="1" showInputMessage="1" showErrorMessage="1" sqref="A18">
      <formula1>$K$1:$K$2</formula1>
    </dataValidation>
    <dataValidation type="list" allowBlank="1" showInputMessage="1" showErrorMessage="1" sqref="A23:E23">
      <formula1>$K$4:$K$5</formula1>
    </dataValidation>
    <dataValidation type="list" allowBlank="1" showInputMessage="1" showErrorMessage="1" sqref="A26:H26">
      <formula1>$K$7:$K$8</formula1>
    </dataValidation>
  </dataValidations>
  <printOptions/>
  <pageMargins left="0.77" right="0.8" top="0.6" bottom="0.6" header="0.38" footer="0.4"/>
  <pageSetup horizontalDpi="1200" verticalDpi="1200" orientation="portrait" paperSize="9" r:id="rId1"/>
  <headerFooter alignWithMargins="0">
    <oddFooter>&amp;C&amp;P/&amp;N&amp;R&amp;A</oddFooter>
  </headerFooter>
</worksheet>
</file>

<file path=xl/worksheets/sheet15.xml><?xml version="1.0" encoding="utf-8"?>
<worksheet xmlns="http://schemas.openxmlformats.org/spreadsheetml/2006/main" xmlns:r="http://schemas.openxmlformats.org/officeDocument/2006/relationships">
  <sheetPr codeName="Munka34"/>
  <dimension ref="A1:K65"/>
  <sheetViews>
    <sheetView workbookViewId="0" topLeftCell="A1">
      <selection activeCell="I55" sqref="I55"/>
    </sheetView>
  </sheetViews>
  <sheetFormatPr defaultColWidth="9.00390625" defaultRowHeight="12.75"/>
  <cols>
    <col min="1" max="1" width="15.625" style="521" customWidth="1"/>
    <col min="2" max="2" width="14.25390625" style="521" customWidth="1"/>
    <col min="3" max="3" width="13.25390625" style="521" customWidth="1"/>
    <col min="4" max="4" width="18.75390625" style="521" customWidth="1"/>
    <col min="5" max="5" width="13.25390625" style="521" customWidth="1"/>
    <col min="6" max="6" width="13.375" style="521" customWidth="1"/>
    <col min="7" max="7" width="12.625" style="521" customWidth="1"/>
    <col min="8" max="8" width="10.75390625" style="521" customWidth="1"/>
    <col min="9" max="9" width="10.875" style="521" customWidth="1"/>
    <col min="10" max="10" width="9.125" style="521" customWidth="1"/>
    <col min="11" max="11" width="10.375" style="521" customWidth="1"/>
    <col min="12" max="16384" width="9.125" style="521" customWidth="1"/>
  </cols>
  <sheetData>
    <row r="1" ht="12.75">
      <c r="A1" s="521" t="s">
        <v>119</v>
      </c>
    </row>
    <row r="2" ht="12.75">
      <c r="A2" s="522" t="s">
        <v>1131</v>
      </c>
    </row>
    <row r="3" spans="1:11" ht="12.75">
      <c r="A3" s="2204" t="s">
        <v>120</v>
      </c>
      <c r="B3" s="2205"/>
      <c r="C3" s="2206" t="s">
        <v>606</v>
      </c>
      <c r="D3" s="2206"/>
      <c r="E3" s="2206" t="s">
        <v>121</v>
      </c>
      <c r="F3" s="2206"/>
      <c r="G3" s="2206" t="s">
        <v>161</v>
      </c>
      <c r="H3" s="2206"/>
      <c r="I3" s="2206"/>
      <c r="J3" s="2206"/>
      <c r="K3" s="2206"/>
    </row>
    <row r="4" spans="1:11" ht="56.25" customHeight="1">
      <c r="A4" s="2204"/>
      <c r="B4" s="2205"/>
      <c r="C4" s="2206"/>
      <c r="D4" s="2206"/>
      <c r="E4" s="2206"/>
      <c r="F4" s="2206"/>
      <c r="G4" s="526" t="s">
        <v>162</v>
      </c>
      <c r="H4" s="526" t="s">
        <v>163</v>
      </c>
      <c r="I4" s="526" t="s">
        <v>164</v>
      </c>
      <c r="J4" s="526" t="s">
        <v>165</v>
      </c>
      <c r="K4" s="526" t="s">
        <v>166</v>
      </c>
    </row>
    <row r="5" spans="1:11" ht="12.75">
      <c r="A5" s="523"/>
      <c r="B5" s="523"/>
      <c r="C5" s="523"/>
      <c r="D5" s="523"/>
      <c r="E5" s="523"/>
      <c r="F5" s="523"/>
      <c r="G5" s="523"/>
      <c r="H5" s="523"/>
      <c r="I5" s="523"/>
      <c r="J5" s="523"/>
      <c r="K5" s="523"/>
    </row>
    <row r="6" spans="1:11" ht="12.75">
      <c r="A6" s="523"/>
      <c r="B6" s="523"/>
      <c r="C6" s="523"/>
      <c r="D6" s="523"/>
      <c r="E6" s="523"/>
      <c r="F6" s="523"/>
      <c r="G6" s="523"/>
      <c r="H6" s="523"/>
      <c r="I6" s="523"/>
      <c r="J6" s="523"/>
      <c r="K6" s="523"/>
    </row>
    <row r="7" spans="1:11" ht="12.75">
      <c r="A7" s="523"/>
      <c r="B7" s="523"/>
      <c r="C7" s="523"/>
      <c r="D7" s="523"/>
      <c r="E7" s="523"/>
      <c r="F7" s="523"/>
      <c r="G7" s="523"/>
      <c r="H7" s="523"/>
      <c r="I7" s="523"/>
      <c r="J7" s="523"/>
      <c r="K7" s="523"/>
    </row>
    <row r="8" spans="1:11" ht="12.75">
      <c r="A8" s="523"/>
      <c r="B8" s="523"/>
      <c r="C8" s="523"/>
      <c r="D8" s="523"/>
      <c r="E8" s="523"/>
      <c r="F8" s="523"/>
      <c r="G8" s="523"/>
      <c r="H8" s="523"/>
      <c r="I8" s="523"/>
      <c r="J8" s="523"/>
      <c r="K8" s="523"/>
    </row>
    <row r="9" spans="1:11" ht="12.75">
      <c r="A9" s="523"/>
      <c r="B9" s="523"/>
      <c r="C9" s="523"/>
      <c r="D9" s="523"/>
      <c r="E9" s="523"/>
      <c r="F9" s="523"/>
      <c r="G9" s="523"/>
      <c r="H9" s="523"/>
      <c r="I9" s="523"/>
      <c r="J9" s="523"/>
      <c r="K9" s="523"/>
    </row>
    <row r="10" spans="1:11" ht="12.75">
      <c r="A10" s="523"/>
      <c r="B10" s="523"/>
      <c r="C10" s="523"/>
      <c r="D10" s="523"/>
      <c r="E10" s="523"/>
      <c r="F10" s="523"/>
      <c r="G10" s="523"/>
      <c r="H10" s="523"/>
      <c r="I10" s="523"/>
      <c r="J10" s="523"/>
      <c r="K10" s="523"/>
    </row>
    <row r="12" ht="12.75">
      <c r="A12" s="522" t="s">
        <v>1132</v>
      </c>
    </row>
    <row r="13" spans="1:7" ht="12.75">
      <c r="A13" s="2206" t="s">
        <v>494</v>
      </c>
      <c r="B13" s="2205" t="s">
        <v>167</v>
      </c>
      <c r="C13" s="2206" t="s">
        <v>168</v>
      </c>
      <c r="D13" s="2206"/>
      <c r="E13" s="2204" t="s">
        <v>1817</v>
      </c>
      <c r="F13" s="2206" t="s">
        <v>169</v>
      </c>
      <c r="G13" s="2206"/>
    </row>
    <row r="14" spans="1:7" ht="12.75">
      <c r="A14" s="2206"/>
      <c r="B14" s="2205"/>
      <c r="C14" s="622" t="s">
        <v>604</v>
      </c>
      <c r="D14" s="622" t="s">
        <v>605</v>
      </c>
      <c r="E14" s="2204"/>
      <c r="F14" s="622" t="s">
        <v>895</v>
      </c>
      <c r="G14" s="622" t="s">
        <v>170</v>
      </c>
    </row>
    <row r="15" spans="1:7" ht="12.75">
      <c r="A15" s="523"/>
      <c r="B15" s="523"/>
      <c r="C15" s="523"/>
      <c r="D15" s="523"/>
      <c r="E15" s="523"/>
      <c r="F15" s="523"/>
      <c r="G15" s="523"/>
    </row>
    <row r="16" spans="1:7" ht="12.75">
      <c r="A16" s="523"/>
      <c r="B16" s="523"/>
      <c r="C16" s="523"/>
      <c r="D16" s="523"/>
      <c r="E16" s="523"/>
      <c r="F16" s="523"/>
      <c r="G16" s="523"/>
    </row>
    <row r="17" spans="1:7" ht="12.75">
      <c r="A17" s="523"/>
      <c r="B17" s="523"/>
      <c r="C17" s="523"/>
      <c r="D17" s="523"/>
      <c r="E17" s="523"/>
      <c r="F17" s="523"/>
      <c r="G17" s="523"/>
    </row>
    <row r="18" spans="1:7" ht="12.75">
      <c r="A18" s="523"/>
      <c r="B18" s="523"/>
      <c r="C18" s="523"/>
      <c r="D18" s="523"/>
      <c r="E18" s="523"/>
      <c r="F18" s="523"/>
      <c r="G18" s="523"/>
    </row>
    <row r="19" spans="1:7" ht="12.75">
      <c r="A19" s="523"/>
      <c r="B19" s="523"/>
      <c r="C19" s="523"/>
      <c r="D19" s="523"/>
      <c r="E19" s="523"/>
      <c r="F19" s="523"/>
      <c r="G19" s="523"/>
    </row>
    <row r="20" spans="1:7" ht="12.75">
      <c r="A20" s="523"/>
      <c r="B20" s="523"/>
      <c r="C20" s="523"/>
      <c r="D20" s="523"/>
      <c r="E20" s="523"/>
      <c r="F20" s="523"/>
      <c r="G20" s="523"/>
    </row>
    <row r="22" ht="12.75">
      <c r="A22" s="522" t="s">
        <v>1133</v>
      </c>
    </row>
    <row r="23" spans="1:4" ht="12.75">
      <c r="A23" s="2206" t="s">
        <v>171</v>
      </c>
      <c r="B23" s="2206"/>
      <c r="C23" s="2206" t="s">
        <v>172</v>
      </c>
      <c r="D23" s="2206"/>
    </row>
    <row r="24" spans="1:4" ht="12.75">
      <c r="A24" s="2207"/>
      <c r="B24" s="2208"/>
      <c r="C24" s="2207"/>
      <c r="D24" s="2208"/>
    </row>
    <row r="25" spans="1:4" ht="12.75">
      <c r="A25" s="2207"/>
      <c r="B25" s="2208"/>
      <c r="C25" s="2207"/>
      <c r="D25" s="2208"/>
    </row>
    <row r="26" spans="1:4" ht="12.75">
      <c r="A26" s="2207"/>
      <c r="B26" s="2208"/>
      <c r="C26" s="2207"/>
      <c r="D26" s="2208"/>
    </row>
    <row r="27" spans="1:4" ht="12.75">
      <c r="A27" s="2207"/>
      <c r="B27" s="2208"/>
      <c r="C27" s="2207"/>
      <c r="D27" s="2208"/>
    </row>
    <row r="28" spans="1:4" ht="12.75">
      <c r="A28" s="2207"/>
      <c r="B28" s="2208"/>
      <c r="C28" s="2207"/>
      <c r="D28" s="2208"/>
    </row>
    <row r="30" ht="12.75">
      <c r="A30" s="522" t="s">
        <v>1134</v>
      </c>
    </row>
    <row r="31" spans="1:6" ht="12.75">
      <c r="A31" s="2206" t="s">
        <v>171</v>
      </c>
      <c r="B31" s="2206" t="s">
        <v>948</v>
      </c>
      <c r="C31" s="2206"/>
      <c r="D31" s="2206" t="s">
        <v>173</v>
      </c>
      <c r="E31" s="2206" t="s">
        <v>174</v>
      </c>
      <c r="F31" s="2206"/>
    </row>
    <row r="32" spans="1:6" ht="12.75">
      <c r="A32" s="2206"/>
      <c r="B32" s="2209"/>
      <c r="C32" s="2209"/>
      <c r="D32" s="2206"/>
      <c r="E32" s="524" t="s">
        <v>895</v>
      </c>
      <c r="F32" s="524" t="s">
        <v>175</v>
      </c>
    </row>
    <row r="33" spans="1:6" ht="12.75">
      <c r="A33" s="523"/>
      <c r="B33" s="2207"/>
      <c r="C33" s="2208"/>
      <c r="D33" s="523"/>
      <c r="E33" s="523"/>
      <c r="F33" s="523"/>
    </row>
    <row r="34" spans="1:6" ht="12.75">
      <c r="A34" s="523"/>
      <c r="B34" s="2207"/>
      <c r="C34" s="2208"/>
      <c r="D34" s="523"/>
      <c r="E34" s="523"/>
      <c r="F34" s="523"/>
    </row>
    <row r="35" spans="1:6" ht="12.75">
      <c r="A35" s="523"/>
      <c r="B35" s="2207"/>
      <c r="C35" s="2208"/>
      <c r="D35" s="523"/>
      <c r="E35" s="523"/>
      <c r="F35" s="523"/>
    </row>
    <row r="36" spans="1:6" ht="12.75">
      <c r="A36" s="523"/>
      <c r="B36" s="2207"/>
      <c r="C36" s="2208"/>
      <c r="D36" s="523"/>
      <c r="E36" s="523"/>
      <c r="F36" s="523"/>
    </row>
    <row r="37" spans="1:6" ht="12.75">
      <c r="A37" s="523"/>
      <c r="B37" s="2207"/>
      <c r="C37" s="2208"/>
      <c r="D37" s="523"/>
      <c r="E37" s="523"/>
      <c r="F37" s="523"/>
    </row>
    <row r="38" spans="1:6" ht="12.75">
      <c r="A38" s="523"/>
      <c r="B38" s="2207"/>
      <c r="C38" s="2208"/>
      <c r="D38" s="523"/>
      <c r="E38" s="523"/>
      <c r="F38" s="523"/>
    </row>
    <row r="40" ht="12.75">
      <c r="A40" s="522" t="s">
        <v>1135</v>
      </c>
    </row>
    <row r="41" spans="1:5" ht="12.75">
      <c r="A41" s="2206" t="s">
        <v>176</v>
      </c>
      <c r="B41" s="2206"/>
      <c r="C41" s="2206" t="s">
        <v>177</v>
      </c>
      <c r="D41" s="2206"/>
      <c r="E41" s="2206"/>
    </row>
    <row r="42" spans="1:5" ht="12.75">
      <c r="A42" s="2206"/>
      <c r="B42" s="2206"/>
      <c r="C42" s="622" t="s">
        <v>178</v>
      </c>
      <c r="D42" s="2206" t="s">
        <v>175</v>
      </c>
      <c r="E42" s="2206"/>
    </row>
    <row r="43" spans="1:5" ht="12.75">
      <c r="A43" s="523"/>
      <c r="B43" s="523"/>
      <c r="C43" s="523"/>
      <c r="D43" s="2210"/>
      <c r="E43" s="2210"/>
    </row>
    <row r="44" spans="1:5" ht="12.75">
      <c r="A44" s="523"/>
      <c r="B44" s="523"/>
      <c r="C44" s="523"/>
      <c r="D44" s="2210"/>
      <c r="E44" s="2210"/>
    </row>
    <row r="45" spans="1:5" ht="12.75">
      <c r="A45" s="523"/>
      <c r="B45" s="523"/>
      <c r="C45" s="523"/>
      <c r="D45" s="2210"/>
      <c r="E45" s="2210"/>
    </row>
    <row r="46" spans="1:5" ht="12.75">
      <c r="A46" s="523"/>
      <c r="B46" s="523"/>
      <c r="C46" s="523"/>
      <c r="D46" s="2210"/>
      <c r="E46" s="2210"/>
    </row>
    <row r="47" spans="1:5" ht="12.75">
      <c r="A47" s="523"/>
      <c r="B47" s="523"/>
      <c r="C47" s="523"/>
      <c r="D47" s="2210"/>
      <c r="E47" s="2210"/>
    </row>
    <row r="48" spans="1:5" ht="12.75">
      <c r="A48" s="523"/>
      <c r="B48" s="523"/>
      <c r="C48" s="523"/>
      <c r="D48" s="2210"/>
      <c r="E48" s="2210"/>
    </row>
    <row r="50" ht="12.75">
      <c r="A50" s="522" t="s">
        <v>1136</v>
      </c>
    </row>
    <row r="51" spans="1:5" ht="12.75">
      <c r="A51" s="2206" t="s">
        <v>494</v>
      </c>
      <c r="B51" s="2206" t="s">
        <v>167</v>
      </c>
      <c r="C51" s="2206" t="s">
        <v>168</v>
      </c>
      <c r="D51" s="2206"/>
      <c r="E51" s="2206" t="s">
        <v>1817</v>
      </c>
    </row>
    <row r="52" spans="1:5" ht="12.75">
      <c r="A52" s="2206"/>
      <c r="B52" s="2206"/>
      <c r="C52" s="622" t="s">
        <v>604</v>
      </c>
      <c r="D52" s="622" t="s">
        <v>605</v>
      </c>
      <c r="E52" s="2206"/>
    </row>
    <row r="53" spans="1:5" ht="12.75">
      <c r="A53" s="523"/>
      <c r="B53" s="523"/>
      <c r="C53" s="523"/>
      <c r="D53" s="523"/>
      <c r="E53" s="523"/>
    </row>
    <row r="54" spans="1:5" ht="12.75">
      <c r="A54" s="523"/>
      <c r="B54" s="523"/>
      <c r="C54" s="523"/>
      <c r="D54" s="523"/>
      <c r="E54" s="523"/>
    </row>
    <row r="55" spans="1:5" ht="12.75">
      <c r="A55" s="523"/>
      <c r="B55" s="523"/>
      <c r="C55" s="523"/>
      <c r="D55" s="523"/>
      <c r="E55" s="523"/>
    </row>
    <row r="56" spans="1:5" ht="12.75">
      <c r="A56" s="523"/>
      <c r="B56" s="523"/>
      <c r="C56" s="523"/>
      <c r="D56" s="523"/>
      <c r="E56" s="523"/>
    </row>
    <row r="57" spans="1:5" ht="12.75">
      <c r="A57" s="523"/>
      <c r="B57" s="523"/>
      <c r="C57" s="523"/>
      <c r="D57" s="523"/>
      <c r="E57" s="523"/>
    </row>
    <row r="59" ht="12.75">
      <c r="A59" s="522" t="s">
        <v>1137</v>
      </c>
    </row>
    <row r="60" spans="1:4" ht="12.75">
      <c r="A60" s="622" t="s">
        <v>179</v>
      </c>
      <c r="B60" s="622" t="s">
        <v>1205</v>
      </c>
      <c r="C60" s="622" t="s">
        <v>180</v>
      </c>
      <c r="D60" s="622" t="s">
        <v>181</v>
      </c>
    </row>
    <row r="61" spans="1:4" ht="12.75">
      <c r="A61" s="523"/>
      <c r="B61" s="523"/>
      <c r="C61" s="523"/>
      <c r="D61" s="523"/>
    </row>
    <row r="62" spans="1:4" ht="12.75">
      <c r="A62" s="523"/>
      <c r="B62" s="523"/>
      <c r="C62" s="523"/>
      <c r="D62" s="523"/>
    </row>
    <row r="63" spans="1:4" ht="12.75">
      <c r="A63" s="523"/>
      <c r="B63" s="523"/>
      <c r="C63" s="523"/>
      <c r="D63" s="523"/>
    </row>
    <row r="64" spans="1:4" ht="12.75">
      <c r="A64" s="523"/>
      <c r="B64" s="523"/>
      <c r="C64" s="523"/>
      <c r="D64" s="523"/>
    </row>
    <row r="65" spans="1:4" ht="12.75">
      <c r="A65" s="523"/>
      <c r="B65" s="523"/>
      <c r="C65" s="523"/>
      <c r="D65" s="523"/>
    </row>
  </sheetData>
  <mergeCells count="44">
    <mergeCell ref="D47:E47"/>
    <mergeCell ref="D48:E48"/>
    <mergeCell ref="A51:A52"/>
    <mergeCell ref="B51:B52"/>
    <mergeCell ref="C51:D51"/>
    <mergeCell ref="E51:E52"/>
    <mergeCell ref="D43:E43"/>
    <mergeCell ref="D44:E44"/>
    <mergeCell ref="D45:E45"/>
    <mergeCell ref="D46:E46"/>
    <mergeCell ref="B37:C37"/>
    <mergeCell ref="B38:C38"/>
    <mergeCell ref="A41:B42"/>
    <mergeCell ref="C41:E41"/>
    <mergeCell ref="D42:E42"/>
    <mergeCell ref="B33:C33"/>
    <mergeCell ref="B34:C34"/>
    <mergeCell ref="B35:C35"/>
    <mergeCell ref="B36:C36"/>
    <mergeCell ref="E31:F31"/>
    <mergeCell ref="A31:A32"/>
    <mergeCell ref="B31:C32"/>
    <mergeCell ref="D31:D32"/>
    <mergeCell ref="A26:B26"/>
    <mergeCell ref="A27:B27"/>
    <mergeCell ref="A28:B28"/>
    <mergeCell ref="C24:D24"/>
    <mergeCell ref="C25:D25"/>
    <mergeCell ref="C26:D26"/>
    <mergeCell ref="C27:D27"/>
    <mergeCell ref="C28:D28"/>
    <mergeCell ref="A23:B23"/>
    <mergeCell ref="C23:D23"/>
    <mergeCell ref="A24:B24"/>
    <mergeCell ref="A25:B25"/>
    <mergeCell ref="G3:K3"/>
    <mergeCell ref="F13:G13"/>
    <mergeCell ref="E13:E14"/>
    <mergeCell ref="C13:D13"/>
    <mergeCell ref="A3:B4"/>
    <mergeCell ref="C3:D4"/>
    <mergeCell ref="E3:F4"/>
    <mergeCell ref="B13:B14"/>
    <mergeCell ref="A13:A1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Munka25"/>
  <dimension ref="A1:G54"/>
  <sheetViews>
    <sheetView showZeros="0" workbookViewId="0" topLeftCell="A1">
      <selection activeCell="E21" sqref="E21"/>
    </sheetView>
  </sheetViews>
  <sheetFormatPr defaultColWidth="9.00390625" defaultRowHeight="12.75"/>
  <cols>
    <col min="1" max="1" width="5.00390625" style="372" customWidth="1"/>
    <col min="2" max="2" width="2.625" style="372" customWidth="1"/>
    <col min="3" max="3" width="33.375" style="372" customWidth="1"/>
    <col min="4" max="7" width="10.75390625" style="372" customWidth="1"/>
    <col min="8" max="8" width="11.75390625" style="372" customWidth="1"/>
    <col min="9" max="16384" width="9.125" style="372" customWidth="1"/>
  </cols>
  <sheetData>
    <row r="1" spans="1:7" ht="15">
      <c r="A1" s="387" t="str">
        <f>'I.A.1'!A1</f>
        <v>Komáromi Távhő Kft</v>
      </c>
      <c r="B1" s="470"/>
      <c r="C1" s="470"/>
      <c r="D1" s="470"/>
      <c r="F1" s="471"/>
      <c r="G1" s="389" t="str">
        <f>'I.A.1'!R1</f>
        <v>Kiegészítő melléklet 2016. december 31.Hőszolgáltatás </v>
      </c>
    </row>
    <row r="2" spans="1:7" ht="15">
      <c r="A2" s="387"/>
      <c r="B2" s="470"/>
      <c r="C2" s="470"/>
      <c r="D2" s="470"/>
      <c r="F2" s="471"/>
      <c r="G2" s="389" t="str">
        <f>'I.A.1'!R2</f>
        <v>I. Általános kiegészítések</v>
      </c>
    </row>
    <row r="3" spans="1:7" ht="14.25" customHeight="1">
      <c r="A3" s="411" t="str">
        <f>'I.A.1'!A3</f>
        <v>A közzétett adatokat könyvvizsgáló ellenőrizte</v>
      </c>
      <c r="B3" s="472"/>
      <c r="C3" s="472"/>
      <c r="D3" s="472"/>
      <c r="E3" s="472"/>
      <c r="F3" s="472"/>
      <c r="G3" s="472"/>
    </row>
    <row r="4" spans="1:7" ht="15.75">
      <c r="A4" s="473"/>
      <c r="B4" s="474"/>
      <c r="C4" s="474"/>
      <c r="D4" s="474"/>
      <c r="E4" s="474"/>
      <c r="F4" s="474"/>
      <c r="G4" s="474"/>
    </row>
    <row r="5" spans="1:7" s="714" customFormat="1" ht="16.5">
      <c r="A5" s="839" t="s">
        <v>1680</v>
      </c>
      <c r="B5" s="715"/>
      <c r="C5" s="715"/>
      <c r="D5" s="716"/>
      <c r="E5" s="715"/>
      <c r="F5" s="715"/>
      <c r="G5" s="715"/>
    </row>
    <row r="6" spans="1:7" ht="21" thickBot="1">
      <c r="A6" s="846"/>
      <c r="B6" s="846"/>
      <c r="C6" s="846"/>
      <c r="D6" s="846"/>
      <c r="E6" s="846"/>
      <c r="F6" s="846"/>
      <c r="G6" s="846"/>
    </row>
    <row r="7" spans="1:7" ht="30">
      <c r="A7" s="2216" t="s">
        <v>494</v>
      </c>
      <c r="B7" s="2217"/>
      <c r="C7" s="2218"/>
      <c r="D7" s="475" t="s">
        <v>1205</v>
      </c>
      <c r="E7" s="475" t="s">
        <v>1206</v>
      </c>
      <c r="F7" s="475" t="s">
        <v>896</v>
      </c>
      <c r="G7" s="476" t="s">
        <v>897</v>
      </c>
    </row>
    <row r="8" spans="1:7" s="480" customFormat="1" ht="24.75" customHeight="1">
      <c r="A8" s="477" t="s">
        <v>1082</v>
      </c>
      <c r="B8" s="2215" t="s">
        <v>898</v>
      </c>
      <c r="C8" s="2215"/>
      <c r="D8" s="478"/>
      <c r="E8" s="478"/>
      <c r="F8" s="478">
        <f>E8-D8</f>
        <v>0</v>
      </c>
      <c r="G8" s="479">
        <f>IF(OR(D8=0,E8=0),"",IF(D8&gt;=0,-(1-E8/D8),(1-E8/D8)))</f>
      </c>
    </row>
    <row r="9" spans="1:7" s="480" customFormat="1" ht="24.75" customHeight="1">
      <c r="A9" s="481"/>
      <c r="B9" s="482"/>
      <c r="C9" s="483" t="s">
        <v>1788</v>
      </c>
      <c r="D9" s="2067">
        <f>IF(EgyszÉvesMérleg"A"!C29=0,0,EgyszÉvesMérleg"A"!C15/EgyszÉvesMérleg"A"!C29)</f>
        <v>0.246510661044129</v>
      </c>
      <c r="E9" s="2067">
        <f>IF(EgyszÉvesMérleg"A"!E29=0,0,EgyszÉvesMérleg"A"!E15/EgyszÉvesMérleg"A"!E29)</f>
        <v>0.20998398558702833</v>
      </c>
      <c r="F9" s="2067">
        <f>E9-D9</f>
        <v>-0.03652667545710067</v>
      </c>
      <c r="G9" s="485">
        <f>IF(OR(D9=0,E9=0),"",IF(D9&gt;=0,-(1-E9/D9),(1-E9/D9)))</f>
        <v>-0.14817483066406556</v>
      </c>
    </row>
    <row r="10" spans="1:7" s="486" customFormat="1" ht="24.75" customHeight="1">
      <c r="A10" s="481"/>
      <c r="B10" s="482"/>
      <c r="C10" s="483" t="s">
        <v>1027</v>
      </c>
      <c r="D10" s="2067">
        <f>IF(EgyszÉvesMérleg"A"!C29=0,0,EgyszÉvesMérleg"A"!C22/EgyszÉvesMérleg"A"!C29)</f>
        <v>0.48603670487616557</v>
      </c>
      <c r="E10" s="2067">
        <f>IF(EgyszÉvesMérleg"A"!E29=0,0,EgyszÉvesMérleg"A"!E22/EgyszÉvesMérleg"A"!E29)</f>
        <v>0.5619107196476829</v>
      </c>
      <c r="F10" s="2067">
        <f>E10-D10</f>
        <v>0.07587401477151734</v>
      </c>
      <c r="G10" s="485">
        <f>IF(OR(D10=0,E10=0),"",IF(D10&gt;=0,-(1-E10/D10),(1-E10/D10)))</f>
        <v>0.15610758202068054</v>
      </c>
    </row>
    <row r="11" spans="1:7" s="480" customFormat="1" ht="24.75" customHeight="1">
      <c r="A11" s="481"/>
      <c r="B11" s="482"/>
      <c r="C11" s="483" t="s">
        <v>1030</v>
      </c>
      <c r="D11" s="2067">
        <f>IF(EgyszÉvesMérleg"A"!C68=0,0,EgyszÉvesMérleg"A"!C52/EgyszÉvesMérleg"A"!C68)</f>
        <v>2.6906574805487913</v>
      </c>
      <c r="E11" s="2067">
        <f>IF(EgyszÉvesMérleg"A"!E68=0,0,EgyszÉvesMérleg"A"!E52/EgyszÉvesMérleg"A"!E68)</f>
        <v>2.4366029426483835</v>
      </c>
      <c r="F11" s="2067">
        <f>E11-D11</f>
        <v>-0.2540545379004078</v>
      </c>
      <c r="G11" s="485">
        <f>IF(OR(D11=0,E11=0),"",IF(D11&gt;=0,-(1-E11/D11),(1-E11/D11)))</f>
        <v>-0.09442098808079813</v>
      </c>
    </row>
    <row r="12" spans="1:7" s="480" customFormat="1" ht="24.75" customHeight="1">
      <c r="A12" s="481"/>
      <c r="B12" s="482"/>
      <c r="C12" s="483" t="s">
        <v>1789</v>
      </c>
      <c r="D12" s="2067">
        <f>IF(EgyszÉvesMérleg"A"!C68=0,0,(EgyszÉvesMérleg"A"!C$52)/(EgyszÉvesMérleg"A"!C$53))</f>
        <v>5.037540309129323</v>
      </c>
      <c r="E12" s="2067">
        <f>IF(EgyszÉvesMérleg"A"!E68=0,0,(EgyszÉvesMérleg"A"!E$52)/(EgyszÉvesMérleg"A"!E$53))</f>
        <v>4.56283620414972</v>
      </c>
      <c r="F12" s="2067">
        <f>E12-D12</f>
        <v>-0.4747041049796028</v>
      </c>
      <c r="G12" s="485">
        <f>IF(OR(D12=0,E12=0),"",IF(D12&gt;=0,-(1-E12/D12),(1-E12/D12)))</f>
        <v>-0.09423331146736758</v>
      </c>
    </row>
    <row r="13" spans="1:7" s="480" customFormat="1" ht="24.75" customHeight="1">
      <c r="A13" s="481"/>
      <c r="B13" s="482"/>
      <c r="C13" s="483" t="s">
        <v>1790</v>
      </c>
      <c r="D13" s="478"/>
      <c r="E13" s="484">
        <f>IF(EgyszÉvesMérleg"A"!E68=0,0,(EredmÖsszktsg"A"!$E$14)/((EgyszÉvesMérleg"A"!C18+EgyszÉvesMérleg"A"!E18+EgyszÉvesMérleg"A"!C23+EgyszÉvesMérleg"A"!E23)/2))</f>
        <v>0</v>
      </c>
      <c r="F13" s="478"/>
      <c r="G13" s="479"/>
    </row>
    <row r="14" spans="1:7" s="486" customFormat="1" ht="24.75" customHeight="1">
      <c r="A14" s="481"/>
      <c r="B14" s="482"/>
      <c r="C14" s="483" t="s">
        <v>4</v>
      </c>
      <c r="D14" s="478"/>
      <c r="E14" s="484">
        <f>IF(EgyszÉvesMérleg"A"!E23+EgyszÉvesMérleg"A"!C23=0,0,(EredmÖsszktsg"A"!$E$14)/(((EgyszÉvesMérleg"A"!$C$23+EgyszÉvesMérleg"A"!$E$23)/2)*365))</f>
        <v>0</v>
      </c>
      <c r="F14" s="478"/>
      <c r="G14" s="479"/>
    </row>
    <row r="15" spans="1:7" s="480" customFormat="1" ht="24.75" customHeight="1">
      <c r="A15" s="481"/>
      <c r="B15" s="482"/>
      <c r="C15" s="483" t="s">
        <v>5</v>
      </c>
      <c r="D15" s="484">
        <f>IF(EgyszÉvesMérleg"A"!C68=0,0,(EgyszÉvesMérleg"A"!$C$52)/(EgyszÉvesMérleg"A"!$C$15))</f>
        <v>10.914974099506084</v>
      </c>
      <c r="E15" s="484">
        <f>IF(EgyszÉvesMérleg"A"!E68=0,0,(EgyszÉvesMérleg"A"!$E$52)/(EgyszÉvesMérleg"A"!$E$15))</f>
        <v>11.603756047570247</v>
      </c>
      <c r="F15" s="484">
        <f aca="true" t="shared" si="0" ref="F15:F20">E15-D15</f>
        <v>0.6887819480641628</v>
      </c>
      <c r="G15" s="485">
        <f aca="true" t="shared" si="1" ref="G15:G20">IF(OR(D15=0,E15=0),"",IF(D15&gt;=0,-(1-E15/D15),(1-E15/D15)))</f>
        <v>0.06310431355905188</v>
      </c>
    </row>
    <row r="16" spans="1:7" s="480" customFormat="1" ht="24.75" customHeight="1">
      <c r="A16" s="481"/>
      <c r="B16" s="482"/>
      <c r="C16" s="483" t="s">
        <v>6</v>
      </c>
      <c r="D16" s="484">
        <f>IF(EgyszÉvesMérleg"A"!C68=0,0,((EgyszÉvesMérleg"A"!$C$52+EgyszÉvesMérleg"A"!$C$62))/(EgyszÉvesMérleg"A"!$C$15))</f>
        <v>12.84165763161065</v>
      </c>
      <c r="E16" s="484">
        <f>IF(EgyszÉvesMérleg"A"!E68=0,0,((EgyszÉvesMérleg"A"!$E$52+EgyszÉvesMérleg"A"!$E$62))/(EgyszÉvesMérleg"A"!$E$15))</f>
        <v>13.346385757525203</v>
      </c>
      <c r="F16" s="484">
        <f t="shared" si="0"/>
        <v>0.5047281259145535</v>
      </c>
      <c r="G16" s="485">
        <f t="shared" si="1"/>
        <v>0.0393039699697435</v>
      </c>
    </row>
    <row r="17" spans="1:7" s="480" customFormat="1" ht="24.75" customHeight="1">
      <c r="A17" s="477" t="s">
        <v>1088</v>
      </c>
      <c r="B17" s="2214" t="s">
        <v>7</v>
      </c>
      <c r="C17" s="2214"/>
      <c r="D17" s="478"/>
      <c r="E17" s="478"/>
      <c r="F17" s="478">
        <f t="shared" si="0"/>
        <v>0</v>
      </c>
      <c r="G17" s="479">
        <f t="shared" si="1"/>
      </c>
    </row>
    <row r="18" spans="1:7" s="480" customFormat="1" ht="24.75" customHeight="1">
      <c r="A18" s="481"/>
      <c r="B18" s="487"/>
      <c r="C18" s="483" t="s">
        <v>8</v>
      </c>
      <c r="D18" s="484">
        <f>IF(EgyszÉvesMérleg"A"!C68=0,0,(EgyszÉvesMérleg"A"!$C$26)/(EgyszÉvesMérleg"A"!$C$65))</f>
        <v>0.2439381244763465</v>
      </c>
      <c r="E18" s="484">
        <f>IF(EgyszÉvesMérleg"A"!E68=0,0,(EgyszÉvesMérleg"A"!$E$26)/(EgyszÉvesMérleg"A"!$E$65))</f>
        <v>0.5661866272788194</v>
      </c>
      <c r="F18" s="484">
        <f t="shared" si="0"/>
        <v>0.3222485028024729</v>
      </c>
      <c r="G18" s="485">
        <f t="shared" si="1"/>
        <v>1.3210255817709209</v>
      </c>
    </row>
    <row r="19" spans="1:7" s="486" customFormat="1" ht="24.75" customHeight="1">
      <c r="A19" s="481"/>
      <c r="B19" s="487"/>
      <c r="C19" s="483" t="s">
        <v>9</v>
      </c>
      <c r="D19" s="484">
        <f>IF(EgyszÉvesMérleg"A"!C68=0,0,((EgyszÉvesMérleg"A"!$C$63+EgyszÉvesMérleg"A"!$C$64))/(EgyszÉvesMérleg"A"!$C$52+EgyszÉvesMérleg"A"!$C$63+EgyszÉvesMérleg"A"!$C$64))</f>
        <v>0</v>
      </c>
      <c r="E19" s="484">
        <f>IF(EgyszÉvesMérleg"A"!E68=0,0,((EgyszÉvesMérleg"A"!$E$63+EgyszÉvesMérleg"A"!$E$64))/(EgyszÉvesMérleg"A"!$E$52+EgyszÉvesMérleg"A"!$E$63+EgyszÉvesMérleg"A"!$E$64))</f>
        <v>0</v>
      </c>
      <c r="F19" s="484">
        <f t="shared" si="0"/>
        <v>0</v>
      </c>
      <c r="G19" s="485">
        <f t="shared" si="1"/>
      </c>
    </row>
    <row r="20" spans="1:7" s="480" customFormat="1" ht="24.75" customHeight="1">
      <c r="A20" s="481"/>
      <c r="B20" s="487"/>
      <c r="C20" s="483" t="s">
        <v>10</v>
      </c>
      <c r="D20" s="484">
        <f>IF(EgyszÉvesMérleg"A"!C68=0,0,(EgyszÉvesMérleg"A"!C$22)/(EgyszÉvesMérleg"A"!C$65))</f>
        <v>1.0233471306914101</v>
      </c>
      <c r="E20" s="484">
        <f>IF(EgyszÉvesMérleg"A"!E68=0,0,(EgyszÉvesMérleg"A"!E$22)/(EgyszÉvesMérleg"A"!E$65))</f>
        <v>1.5355926640134576</v>
      </c>
      <c r="F20" s="484">
        <f t="shared" si="0"/>
        <v>0.5122455333220475</v>
      </c>
      <c r="G20" s="485">
        <f t="shared" si="1"/>
        <v>0.500558918825478</v>
      </c>
    </row>
    <row r="21" spans="1:7" s="480" customFormat="1" ht="24.75" customHeight="1">
      <c r="A21" s="481"/>
      <c r="B21" s="487"/>
      <c r="C21" s="483" t="s">
        <v>1795</v>
      </c>
      <c r="D21" s="478"/>
      <c r="E21" s="484">
        <f>IF(EgyszÉvesMérleg"A"!C68=0,0,(((Mérleg"A"!$C$63+Mérleg"A"!$E$63)/2)*365)/(EgyszÉvesEredmÖsszktsg"A"!E14))</f>
        <v>0</v>
      </c>
      <c r="F21" s="478"/>
      <c r="G21" s="479"/>
    </row>
    <row r="22" spans="1:7" s="480" customFormat="1" ht="24.75" customHeight="1">
      <c r="A22" s="481"/>
      <c r="B22" s="487"/>
      <c r="C22" s="483" t="s">
        <v>1796</v>
      </c>
      <c r="D22" s="478"/>
      <c r="E22" s="484">
        <f>IF(EgyszÉvesMérleg"A"!C68=0,0,(((Mérleg"A"!$C$157+Mérleg"A"!$E$157)/2)*365)/(EgyszÉvesEredmÖsszktsg"A"!E18))</f>
        <v>0</v>
      </c>
      <c r="F22" s="478"/>
      <c r="G22" s="479"/>
    </row>
    <row r="23" spans="1:7" s="480" customFormat="1" ht="24.75" customHeight="1">
      <c r="A23" s="488" t="s">
        <v>1090</v>
      </c>
      <c r="B23" s="2215" t="s">
        <v>1797</v>
      </c>
      <c r="C23" s="2215"/>
      <c r="D23" s="2068"/>
      <c r="E23" s="2068"/>
      <c r="F23" s="478">
        <f aca="true" t="shared" si="2" ref="F23:F28">E23-D23</f>
        <v>0</v>
      </c>
      <c r="G23" s="479">
        <f aca="true" t="shared" si="3" ref="G23:G28">IF(OR(D23=0,E23=0),"",IF(D23&gt;=0,-(1-E23/D23),(1-E23/D23)))</f>
      </c>
    </row>
    <row r="24" spans="1:7" s="489" customFormat="1" ht="24.75" customHeight="1">
      <c r="A24" s="481"/>
      <c r="B24" s="487"/>
      <c r="C24" s="483" t="s">
        <v>19</v>
      </c>
      <c r="D24" s="2067">
        <f>IF(EgyszÉvesMérleg"A"!C68=0,0,(EgyszÉvesEredmÖsszktsg"A"!C$33)/(EgyszÉvesEredmÖsszktsg"A"!C$14))</f>
        <v>1.0332639458946076</v>
      </c>
      <c r="E24" s="2067">
        <f>IF(EgyszÉvesMérleg"A"!E68=0,0,(EgyszÉvesEredmÖsszktsg"A"!E$33)/(EgyszÉvesEredmÖsszktsg"A"!E$14))</f>
        <v>1.0044832519096332</v>
      </c>
      <c r="F24" s="2067">
        <f t="shared" si="2"/>
        <v>-0.028780693984974404</v>
      </c>
      <c r="G24" s="485">
        <f t="shared" si="3"/>
        <v>-0.027854154883973914</v>
      </c>
    </row>
    <row r="25" spans="1:7" s="486" customFormat="1" ht="24.75" customHeight="1">
      <c r="A25" s="481"/>
      <c r="B25" s="487"/>
      <c r="C25" s="483" t="s">
        <v>20</v>
      </c>
      <c r="D25" s="2067">
        <f>IF(EgyszÉvesMérleg"A"!C68=0,0,EgyszÉvesEredmÖsszktsg"A"!C$23/EgyszÉvesMérleg"A"!C$52)</f>
        <v>0.8144808465739273</v>
      </c>
      <c r="E25" s="2067">
        <f>IF(EgyszÉvesMérleg"A"!E68=0,0,EgyszÉvesEredmÖsszktsg"A"!E$23/EgyszÉvesMérleg"A"!E$52)</f>
        <v>0.7643474188817825</v>
      </c>
      <c r="F25" s="2067">
        <f t="shared" si="2"/>
        <v>-0.050133427692144794</v>
      </c>
      <c r="G25" s="485">
        <f t="shared" si="3"/>
        <v>-0.061552617109448926</v>
      </c>
    </row>
    <row r="26" spans="1:7" s="480" customFormat="1" ht="24.75" customHeight="1">
      <c r="A26" s="481"/>
      <c r="B26" s="487"/>
      <c r="C26" s="483" t="s">
        <v>21</v>
      </c>
      <c r="D26" s="2067">
        <f>IF(EgyszÉvesMérleg"A"!C68=0,0,(EgyszÉvesEredmÖsszktsg"A"!C$33)/(EgyszÉvesMérleg"A"!C$53))</f>
        <v>4.1010341376626265</v>
      </c>
      <c r="E26" s="2067">
        <f>IF(EgyszÉvesMérleg"A"!E68=0,0,(EgyszÉvesEredmÖsszktsg"A"!E$33)/(EgyszÉvesMérleg"A"!E$53))</f>
        <v>3.48762956159916</v>
      </c>
      <c r="F26" s="2067">
        <f t="shared" si="2"/>
        <v>-0.6134045760634663</v>
      </c>
      <c r="G26" s="485">
        <f t="shared" si="3"/>
        <v>-0.14957314557080825</v>
      </c>
    </row>
    <row r="27" spans="1:7" s="480" customFormat="1" ht="24.75" customHeight="1">
      <c r="A27" s="481"/>
      <c r="B27" s="487"/>
      <c r="C27" s="483" t="s">
        <v>22</v>
      </c>
      <c r="D27" s="2067">
        <f>IF(EgyszÉvesMérleg"A"!C68=0,0,((EgyszÉvesEredmÖsszktsg"A"!C$20+EgyszÉvesEredmÖsszktsg"A"!C$33))/(EgyszÉvesEredmÖsszktsg"A"!C$14))</f>
        <v>1.0599356181692363</v>
      </c>
      <c r="E27" s="2067">
        <f>IF(EgyszÉvesMérleg"A"!E68=0,0,((EgyszÉvesEredmÖsszktsg"A"!E$20+EgyszÉvesEredmÖsszktsg"A"!E$33))/(EgyszÉvesEredmÖsszktsg"A"!E$14))</f>
        <v>1.0210531998164594</v>
      </c>
      <c r="F27" s="2067">
        <f t="shared" si="2"/>
        <v>-0.03888241835277695</v>
      </c>
      <c r="G27" s="485">
        <f t="shared" si="3"/>
        <v>-0.036683754830256765</v>
      </c>
    </row>
    <row r="28" spans="1:7" s="480" customFormat="1" ht="24.75" customHeight="1" thickBot="1">
      <c r="A28" s="490"/>
      <c r="B28" s="491"/>
      <c r="C28" s="492" t="s">
        <v>275</v>
      </c>
      <c r="D28" s="2069">
        <f>IF(EgyszÉvesMérleg"A"!C68=0,0,((EgyszÉvesEredmÖsszktsg"A"!C$20+EgyszÉvesEredmÖsszktsg"A"!C$34))/(EgyszÉvesEredmÖsszktsg"A"!C$14))</f>
        <v>0.02667167227462857</v>
      </c>
      <c r="E28" s="2069">
        <f>IF(EgyszÉvesMérleg"A"!E68=0,0,((EgyszÉvesEredmÖsszktsg"A"!E$20+EgyszÉvesEredmÖsszktsg"A"!E$34))/(EgyszÉvesEredmÖsszktsg"A"!E$14))</f>
        <v>0.016569947906826095</v>
      </c>
      <c r="F28" s="2069">
        <f t="shared" si="2"/>
        <v>-0.010101724367802475</v>
      </c>
      <c r="G28" s="493">
        <f t="shared" si="3"/>
        <v>-0.3787435697240379</v>
      </c>
    </row>
    <row r="29" spans="1:7" ht="15" customHeight="1">
      <c r="A29" s="2211"/>
      <c r="B29" s="2211"/>
      <c r="C29" s="2211"/>
      <c r="D29" s="2212"/>
      <c r="E29" s="2212"/>
      <c r="F29" s="494"/>
      <c r="G29" s="2212"/>
    </row>
    <row r="30" spans="1:7" ht="15" customHeight="1">
      <c r="A30" s="2211"/>
      <c r="B30" s="2211"/>
      <c r="C30" s="2211"/>
      <c r="D30" s="2213"/>
      <c r="E30" s="2213"/>
      <c r="F30" s="495"/>
      <c r="G30" s="2213"/>
    </row>
    <row r="31" spans="1:7" ht="15" customHeight="1">
      <c r="A31" s="496"/>
      <c r="B31" s="497"/>
      <c r="C31" s="498"/>
      <c r="D31" s="499"/>
      <c r="E31" s="500"/>
      <c r="F31" s="500"/>
      <c r="G31" s="499"/>
    </row>
    <row r="32" spans="1:7" s="486" customFormat="1" ht="24.75" customHeight="1">
      <c r="A32" s="501"/>
      <c r="B32" s="502"/>
      <c r="C32" s="503"/>
      <c r="D32" s="504"/>
      <c r="E32" s="505"/>
      <c r="F32" s="505"/>
      <c r="G32" s="504"/>
    </row>
    <row r="33" spans="1:7" s="486" customFormat="1" ht="24.75" customHeight="1">
      <c r="A33" s="501"/>
      <c r="B33" s="502"/>
      <c r="C33" s="503"/>
      <c r="D33" s="504"/>
      <c r="E33" s="505"/>
      <c r="F33" s="505"/>
      <c r="G33" s="504"/>
    </row>
    <row r="34" spans="1:7" ht="15" customHeight="1">
      <c r="A34" s="496"/>
      <c r="B34" s="497"/>
      <c r="C34" s="498"/>
      <c r="D34" s="499"/>
      <c r="E34" s="500"/>
      <c r="F34" s="500"/>
      <c r="G34" s="499"/>
    </row>
    <row r="35" spans="1:7" ht="15" customHeight="1">
      <c r="A35" s="506"/>
      <c r="B35" s="507"/>
      <c r="C35" s="508"/>
      <c r="D35" s="509"/>
      <c r="E35" s="510"/>
      <c r="F35" s="510"/>
      <c r="G35" s="509"/>
    </row>
    <row r="36" spans="1:7" ht="15" customHeight="1">
      <c r="A36" s="506"/>
      <c r="B36" s="507"/>
      <c r="C36" s="508"/>
      <c r="D36" s="509"/>
      <c r="E36" s="510"/>
      <c r="F36" s="510"/>
      <c r="G36" s="509"/>
    </row>
    <row r="37" spans="1:7" s="486" customFormat="1" ht="24.75" customHeight="1">
      <c r="A37" s="501"/>
      <c r="B37" s="502"/>
      <c r="C37" s="503"/>
      <c r="D37" s="504"/>
      <c r="E37" s="505"/>
      <c r="F37" s="505"/>
      <c r="G37" s="504"/>
    </row>
    <row r="38" spans="1:7" ht="15.75">
      <c r="A38" s="506"/>
      <c r="B38" s="511"/>
      <c r="C38" s="512"/>
      <c r="D38" s="513"/>
      <c r="E38" s="514"/>
      <c r="F38" s="514"/>
      <c r="G38" s="513"/>
    </row>
    <row r="39" spans="1:7" s="518" customFormat="1" ht="15.75">
      <c r="A39" s="515"/>
      <c r="B39" s="516"/>
      <c r="C39" s="517"/>
      <c r="D39" s="513"/>
      <c r="E39" s="514"/>
      <c r="F39" s="514"/>
      <c r="G39" s="513"/>
    </row>
    <row r="40" spans="1:7" ht="12.75">
      <c r="A40" s="519"/>
      <c r="B40" s="519"/>
      <c r="C40" s="519"/>
      <c r="D40" s="519"/>
      <c r="E40" s="519"/>
      <c r="F40" s="519"/>
      <c r="G40" s="519"/>
    </row>
    <row r="41" spans="1:7" ht="12.75">
      <c r="A41" s="379"/>
      <c r="B41" s="379"/>
      <c r="C41" s="379"/>
      <c r="D41" s="379"/>
      <c r="E41" s="379"/>
      <c r="F41" s="379"/>
      <c r="G41" s="379"/>
    </row>
    <row r="53" ht="13.5" customHeight="1"/>
    <row r="54" spans="1:7" ht="12.75">
      <c r="A54" s="520"/>
      <c r="B54" s="520"/>
      <c r="C54" s="520"/>
      <c r="D54" s="520"/>
      <c r="E54" s="520"/>
      <c r="F54" s="520"/>
      <c r="G54" s="520"/>
    </row>
  </sheetData>
  <mergeCells count="9">
    <mergeCell ref="B17:C17"/>
    <mergeCell ref="B23:C23"/>
    <mergeCell ref="A29:C29"/>
    <mergeCell ref="A7:C7"/>
    <mergeCell ref="B8:C8"/>
    <mergeCell ref="A30:C30"/>
    <mergeCell ref="D29:D30"/>
    <mergeCell ref="E29:E30"/>
    <mergeCell ref="G29:G30"/>
  </mergeCells>
  <printOptions horizontalCentered="1"/>
  <pageMargins left="0.7874015748031497" right="0.7874015748031497" top="0.58" bottom="0.58" header="0.31" footer="0.39"/>
  <pageSetup horizontalDpi="120" verticalDpi="120" orientation="portrait" paperSize="9" r:id="rId1"/>
  <headerFooter alignWithMargins="0">
    <oddFooter>&amp;C&amp;P/&amp;N&amp;R&amp;A</oddFooter>
  </headerFooter>
</worksheet>
</file>

<file path=xl/worksheets/sheet17.xml><?xml version="1.0" encoding="utf-8"?>
<worksheet xmlns="http://schemas.openxmlformats.org/spreadsheetml/2006/main" xmlns:r="http://schemas.openxmlformats.org/officeDocument/2006/relationships">
  <sheetPr codeName="Munka14">
    <tabColor indexed="11"/>
  </sheetPr>
  <dimension ref="A1:R39"/>
  <sheetViews>
    <sheetView workbookViewId="0" topLeftCell="A4">
      <selection activeCell="H19" sqref="H19"/>
    </sheetView>
  </sheetViews>
  <sheetFormatPr defaultColWidth="9.00390625" defaultRowHeight="12.75"/>
  <cols>
    <col min="1" max="1" width="10.875" style="388" customWidth="1"/>
    <col min="2" max="2" width="8.375" style="388" customWidth="1"/>
    <col min="3" max="3" width="19.875" style="388" customWidth="1"/>
    <col min="4" max="4" width="11.00390625" style="388" customWidth="1"/>
    <col min="5" max="5" width="10.25390625" style="388" customWidth="1"/>
    <col min="6" max="6" width="10.00390625" style="388" customWidth="1"/>
    <col min="7" max="7" width="10.75390625" style="388" customWidth="1"/>
    <col min="8" max="8" width="11.00390625" style="388" customWidth="1"/>
    <col min="9" max="16384" width="9.125" style="388" customWidth="1"/>
  </cols>
  <sheetData>
    <row r="1" spans="1:8" ht="12.75">
      <c r="A1" s="626" t="str">
        <f>KiegMell!L12</f>
        <v>Komáromi Távhő Kft</v>
      </c>
      <c r="H1" s="389" t="str">
        <f>'I.A.1'!R1</f>
        <v>Kiegészítő melléklet 2016. december 31.Hőszolgáltatás </v>
      </c>
    </row>
    <row r="2" spans="1:8" ht="12.75">
      <c r="A2" s="387"/>
      <c r="H2" s="389" t="str">
        <f>A5</f>
        <v>II. Tájékoztató kiegészítések</v>
      </c>
    </row>
    <row r="3" spans="1:8" ht="12.75">
      <c r="A3" s="411" t="str">
        <f>KiegMell!A31</f>
        <v>A közzétett adatokat könyvvizsgáló ellenőrizte</v>
      </c>
      <c r="B3" s="393"/>
      <c r="C3" s="393"/>
      <c r="D3" s="393"/>
      <c r="E3" s="393"/>
      <c r="F3" s="393"/>
      <c r="G3" s="393"/>
      <c r="H3" s="396"/>
    </row>
    <row r="4" ht="30" customHeight="1"/>
    <row r="5" spans="1:10" s="628" customFormat="1" ht="18">
      <c r="A5" s="1945" t="s">
        <v>1583</v>
      </c>
      <c r="B5" s="394"/>
      <c r="C5" s="394"/>
      <c r="D5" s="394"/>
      <c r="E5" s="394"/>
      <c r="F5" s="394"/>
      <c r="G5" s="394"/>
      <c r="H5" s="395"/>
      <c r="I5" s="627"/>
      <c r="J5" s="627"/>
    </row>
    <row r="7" spans="1:5" ht="12.75" hidden="1">
      <c r="A7" s="398" t="s">
        <v>874</v>
      </c>
      <c r="B7" s="398"/>
      <c r="C7" s="398"/>
      <c r="D7" s="398"/>
      <c r="E7" s="398"/>
    </row>
    <row r="8" spans="1:8" ht="12.75" hidden="1">
      <c r="A8" s="417" t="s">
        <v>875</v>
      </c>
      <c r="B8" s="418"/>
      <c r="C8" s="419"/>
      <c r="D8" s="420" t="s">
        <v>876</v>
      </c>
      <c r="E8" s="418"/>
      <c r="F8" s="421"/>
      <c r="G8" s="421"/>
      <c r="H8" s="421"/>
    </row>
    <row r="9" spans="1:8" ht="12.75" hidden="1">
      <c r="A9" s="422"/>
      <c r="B9" s="423"/>
      <c r="C9" s="424"/>
      <c r="D9" s="425"/>
      <c r="E9" s="426"/>
      <c r="F9" s="426"/>
      <c r="G9" s="426"/>
      <c r="H9" s="427"/>
    </row>
    <row r="10" spans="1:8" ht="12.75" hidden="1">
      <c r="A10" s="422"/>
      <c r="B10" s="423"/>
      <c r="C10" s="424"/>
      <c r="D10" s="425"/>
      <c r="E10" s="426"/>
      <c r="F10" s="426"/>
      <c r="G10" s="426"/>
      <c r="H10" s="427"/>
    </row>
    <row r="11" spans="1:8" ht="13.5" hidden="1" thickBot="1">
      <c r="A11" s="428"/>
      <c r="B11" s="429"/>
      <c r="C11" s="430"/>
      <c r="D11" s="431"/>
      <c r="E11" s="432"/>
      <c r="F11" s="432"/>
      <c r="G11" s="432"/>
      <c r="H11" s="433"/>
    </row>
    <row r="13" spans="1:2" ht="13.5" thickBot="1">
      <c r="A13" s="398" t="s">
        <v>1422</v>
      </c>
      <c r="B13" s="398"/>
    </row>
    <row r="14" spans="1:8" ht="19.5" customHeight="1" thickBot="1">
      <c r="A14" s="434" t="s">
        <v>494</v>
      </c>
      <c r="B14" s="435"/>
      <c r="C14" s="436"/>
      <c r="D14" s="436"/>
      <c r="E14" s="436"/>
      <c r="F14" s="436"/>
      <c r="G14" s="437" t="s">
        <v>877</v>
      </c>
      <c r="H14" s="438" t="s">
        <v>878</v>
      </c>
    </row>
    <row r="15" spans="1:8" ht="15" customHeight="1" thickTop="1">
      <c r="A15" s="439" t="s">
        <v>879</v>
      </c>
      <c r="B15" s="440"/>
      <c r="C15" s="441"/>
      <c r="D15" s="1590"/>
      <c r="E15" s="1590"/>
      <c r="F15" s="442"/>
      <c r="G15" s="1595"/>
      <c r="H15" s="1596"/>
    </row>
    <row r="16" spans="1:8" ht="15" customHeight="1">
      <c r="A16" s="443" t="s">
        <v>880</v>
      </c>
      <c r="B16" s="444"/>
      <c r="C16" s="444"/>
      <c r="D16" s="426"/>
      <c r="E16" s="426"/>
      <c r="F16" s="424"/>
      <c r="G16" s="567"/>
      <c r="H16" s="545"/>
    </row>
    <row r="17" spans="1:8" ht="15" customHeight="1" thickBot="1">
      <c r="A17" s="445" t="s">
        <v>881</v>
      </c>
      <c r="B17" s="446"/>
      <c r="C17" s="447"/>
      <c r="D17" s="432"/>
      <c r="E17" s="432"/>
      <c r="F17" s="430"/>
      <c r="G17" s="1597"/>
      <c r="H17" s="1598"/>
    </row>
    <row r="18" ht="19.5" customHeight="1">
      <c r="C18" s="448"/>
    </row>
    <row r="19" spans="1:8" ht="19.5" customHeight="1" thickBot="1">
      <c r="A19" s="398" t="s">
        <v>363</v>
      </c>
      <c r="H19" s="1604" t="s">
        <v>364</v>
      </c>
    </row>
    <row r="20" spans="1:8" ht="40.5" customHeight="1">
      <c r="A20" s="449" t="s">
        <v>494</v>
      </c>
      <c r="B20" s="450"/>
      <c r="C20" s="451" t="s">
        <v>882</v>
      </c>
      <c r="D20" s="451" t="s">
        <v>883</v>
      </c>
      <c r="E20" s="451" t="s">
        <v>884</v>
      </c>
      <c r="F20" s="451" t="s">
        <v>885</v>
      </c>
      <c r="G20" s="451" t="s">
        <v>886</v>
      </c>
      <c r="H20" s="452" t="s">
        <v>887</v>
      </c>
    </row>
    <row r="21" spans="1:8" ht="15" customHeight="1">
      <c r="A21" s="453" t="s">
        <v>888</v>
      </c>
      <c r="B21" s="454"/>
      <c r="C21" s="576"/>
      <c r="D21" s="576"/>
      <c r="E21" s="576"/>
      <c r="F21" s="576"/>
      <c r="G21" s="576"/>
      <c r="H21" s="577"/>
    </row>
    <row r="22" spans="1:8" ht="15" customHeight="1">
      <c r="A22" s="453" t="s">
        <v>889</v>
      </c>
      <c r="B22" s="454"/>
      <c r="C22" s="576"/>
      <c r="D22" s="576"/>
      <c r="E22" s="576"/>
      <c r="F22" s="576"/>
      <c r="G22" s="576"/>
      <c r="H22" s="577"/>
    </row>
    <row r="23" spans="1:8" ht="15" customHeight="1" thickBot="1">
      <c r="A23" s="456" t="s">
        <v>890</v>
      </c>
      <c r="B23" s="457"/>
      <c r="C23" s="1591"/>
      <c r="D23" s="1591"/>
      <c r="E23" s="1591"/>
      <c r="F23" s="1591"/>
      <c r="G23" s="1591"/>
      <c r="H23" s="1592"/>
    </row>
    <row r="24" spans="1:8" ht="15" customHeight="1" thickBot="1" thickTop="1">
      <c r="A24" s="458" t="s">
        <v>602</v>
      </c>
      <c r="B24" s="459"/>
      <c r="C24" s="1593"/>
      <c r="D24" s="1593"/>
      <c r="E24" s="1593"/>
      <c r="F24" s="1593"/>
      <c r="G24" s="1593"/>
      <c r="H24" s="1594"/>
    </row>
    <row r="27" spans="1:6" ht="15.75">
      <c r="A27" s="222" t="s">
        <v>1718</v>
      </c>
      <c r="B27"/>
      <c r="F27" s="222" t="s">
        <v>1408</v>
      </c>
    </row>
    <row r="30" spans="1:18" s="1042" customFormat="1" ht="13.5" thickBot="1">
      <c r="A30" s="1470" t="s">
        <v>1423</v>
      </c>
      <c r="H30" s="1465"/>
      <c r="I30" s="1465"/>
      <c r="J30" s="1465"/>
      <c r="K30" s="1465"/>
      <c r="L30" s="1465"/>
      <c r="M30" s="1465"/>
      <c r="N30" s="1465"/>
      <c r="O30" s="1465"/>
      <c r="P30" s="1465"/>
      <c r="Q30" s="1465"/>
      <c r="R30" s="1465"/>
    </row>
    <row r="31" spans="1:8" s="1042" customFormat="1" ht="24.75" customHeight="1">
      <c r="A31" s="1856" t="s">
        <v>853</v>
      </c>
      <c r="B31" s="1857"/>
      <c r="C31" s="1858"/>
      <c r="D31" s="2222"/>
      <c r="E31" s="2223"/>
      <c r="F31" s="2223"/>
      <c r="G31" s="2223"/>
      <c r="H31" s="2224"/>
    </row>
    <row r="32" spans="1:8" s="1042" customFormat="1" ht="24.75" customHeight="1">
      <c r="A32" s="1587" t="s">
        <v>1729</v>
      </c>
      <c r="B32" s="1588"/>
      <c r="C32" s="1859"/>
      <c r="D32" s="2141"/>
      <c r="E32" s="2140"/>
      <c r="F32" s="2140"/>
      <c r="G32" s="2140"/>
      <c r="H32" s="2137"/>
    </row>
    <row r="33" spans="1:8" s="1042" customFormat="1" ht="24.75" customHeight="1">
      <c r="A33" s="2225" t="s">
        <v>1632</v>
      </c>
      <c r="B33" s="2226"/>
      <c r="C33" s="2227"/>
      <c r="D33" s="2141"/>
      <c r="E33" s="2140"/>
      <c r="F33" s="2140"/>
      <c r="G33" s="2140"/>
      <c r="H33" s="2137"/>
    </row>
    <row r="34" spans="2:8" s="1042" customFormat="1" ht="12.75">
      <c r="B34" s="1469"/>
      <c r="C34" s="1469"/>
      <c r="D34" s="1468"/>
      <c r="E34" s="1468"/>
      <c r="F34" s="1468"/>
      <c r="G34" s="1468"/>
      <c r="H34" s="1468"/>
    </row>
    <row r="35" spans="1:8" s="1042" customFormat="1" ht="13.5" thickBot="1">
      <c r="A35" s="1470" t="s">
        <v>1407</v>
      </c>
      <c r="B35" s="1469"/>
      <c r="C35" s="1469"/>
      <c r="D35" s="1468"/>
      <c r="E35" s="1468"/>
      <c r="F35" s="1468"/>
      <c r="G35" s="1468"/>
      <c r="H35" s="1468"/>
    </row>
    <row r="36" spans="1:8" s="1042" customFormat="1" ht="24.75" customHeight="1">
      <c r="A36" s="1856" t="s">
        <v>853</v>
      </c>
      <c r="B36" s="1857"/>
      <c r="C36" s="1858"/>
      <c r="D36" s="2222"/>
      <c r="E36" s="2223"/>
      <c r="F36" s="2223"/>
      <c r="G36" s="2223"/>
      <c r="H36" s="2224"/>
    </row>
    <row r="37" spans="1:8" s="1042" customFormat="1" ht="24.75" customHeight="1">
      <c r="A37" s="1587" t="s">
        <v>1729</v>
      </c>
      <c r="B37" s="1588"/>
      <c r="C37" s="1859"/>
      <c r="D37" s="2141"/>
      <c r="E37" s="2140"/>
      <c r="F37" s="2140"/>
      <c r="G37" s="2140"/>
      <c r="H37" s="2137"/>
    </row>
    <row r="38" spans="1:8" s="1042" customFormat="1" ht="24.75" customHeight="1" thickBot="1">
      <c r="A38" s="2219" t="s">
        <v>1632</v>
      </c>
      <c r="B38" s="2220"/>
      <c r="C38" s="2221"/>
      <c r="D38" s="2228"/>
      <c r="E38" s="2229"/>
      <c r="F38" s="2229"/>
      <c r="G38" s="2229"/>
      <c r="H38" s="2230"/>
    </row>
    <row r="39" spans="1:18" ht="24.75" customHeight="1">
      <c r="A39" s="624"/>
      <c r="B39" s="624"/>
      <c r="C39" s="624"/>
      <c r="D39" s="624"/>
      <c r="E39" s="448"/>
      <c r="F39" s="448"/>
      <c r="G39" s="448"/>
      <c r="H39" s="448"/>
      <c r="I39" s="448"/>
      <c r="J39" s="448"/>
      <c r="K39" s="448"/>
      <c r="L39" s="448"/>
      <c r="M39" s="448"/>
      <c r="N39" s="448"/>
      <c r="O39" s="448"/>
      <c r="P39" s="448"/>
      <c r="Q39" s="448"/>
      <c r="R39" s="448"/>
    </row>
  </sheetData>
  <mergeCells count="8">
    <mergeCell ref="D31:H31"/>
    <mergeCell ref="D32:H32"/>
    <mergeCell ref="D37:H37"/>
    <mergeCell ref="D38:H38"/>
    <mergeCell ref="A38:C38"/>
    <mergeCell ref="D33:H33"/>
    <mergeCell ref="D36:H36"/>
    <mergeCell ref="A33:C33"/>
  </mergeCells>
  <printOptions horizontalCentered="1"/>
  <pageMargins left="0.58" right="0.64" top="0.5905511811023623" bottom="0.5905511811023623" header="0.3937007874015748" footer="0.3937007874015748"/>
  <pageSetup horizontalDpi="600" verticalDpi="600" orientation="portrait" paperSize="9" scale="94"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codeName="Munka15">
    <tabColor indexed="11"/>
  </sheetPr>
  <dimension ref="A1:N32"/>
  <sheetViews>
    <sheetView workbookViewId="0" topLeftCell="A1">
      <selection activeCell="A5" sqref="A5"/>
    </sheetView>
  </sheetViews>
  <sheetFormatPr defaultColWidth="9.00390625" defaultRowHeight="12.75"/>
  <cols>
    <col min="1" max="1" width="30.75390625" style="521" customWidth="1"/>
    <col min="2" max="2" width="31.25390625" style="521" customWidth="1"/>
    <col min="3" max="4" width="11.75390625" style="521" customWidth="1"/>
    <col min="5" max="10" width="10.75390625" style="521" customWidth="1"/>
    <col min="11" max="16384" width="9.125" style="521" customWidth="1"/>
  </cols>
  <sheetData>
    <row r="1" spans="1:7" s="372" customFormat="1" ht="15">
      <c r="A1" s="387" t="str">
        <f>'I.A.2'!A1</f>
        <v>Komáromi Távhő Kft</v>
      </c>
      <c r="B1" s="470"/>
      <c r="C1" s="470"/>
      <c r="D1" s="389" t="str">
        <f>'I.A.1'!R1</f>
        <v>Kiegészítő melléklet 2016. december 31.Hőszolgáltatás </v>
      </c>
      <c r="G1" s="471"/>
    </row>
    <row r="2" spans="1:7" s="372" customFormat="1" ht="15">
      <c r="A2" s="387"/>
      <c r="B2" s="470"/>
      <c r="C2" s="470"/>
      <c r="D2" s="389" t="str">
        <f>'II.A'!H2</f>
        <v>II. Tájékoztató kiegészítések</v>
      </c>
      <c r="G2" s="471"/>
    </row>
    <row r="3" spans="1:14" s="372" customFormat="1" ht="14.25" customHeight="1">
      <c r="A3" s="411" t="str">
        <f>'I.A.1'!A3</f>
        <v>A közzétett adatokat könyvvizsgáló ellenőrizte</v>
      </c>
      <c r="B3" s="472"/>
      <c r="C3" s="472"/>
      <c r="D3" s="472"/>
      <c r="E3" s="687"/>
      <c r="F3" s="687"/>
      <c r="G3" s="687"/>
      <c r="H3" s="687"/>
      <c r="I3" s="688"/>
      <c r="J3" s="688"/>
      <c r="K3" s="688"/>
      <c r="L3" s="688"/>
      <c r="M3" s="688"/>
      <c r="N3" s="688"/>
    </row>
    <row r="5" spans="1:4" s="689" customFormat="1" ht="16.5">
      <c r="A5" s="717" t="s">
        <v>1421</v>
      </c>
      <c r="B5" s="584"/>
      <c r="C5" s="584"/>
      <c r="D5" s="584"/>
    </row>
    <row r="7" ht="12.75">
      <c r="A7" s="665"/>
    </row>
    <row r="8" spans="1:10" s="690" customFormat="1" ht="33" customHeight="1" thickBot="1">
      <c r="A8" s="2231" t="s">
        <v>1681</v>
      </c>
      <c r="B8" s="2231"/>
      <c r="C8" s="2231"/>
      <c r="D8" s="2231"/>
      <c r="E8" s="691"/>
      <c r="F8" s="691"/>
      <c r="G8" s="691"/>
      <c r="H8" s="691"/>
      <c r="I8" s="691"/>
      <c r="J8" s="691"/>
    </row>
    <row r="9" spans="1:10" ht="30" customHeight="1">
      <c r="A9" s="650" t="s">
        <v>829</v>
      </c>
      <c r="B9" s="651" t="s">
        <v>1606</v>
      </c>
      <c r="C9" s="651" t="s">
        <v>1609</v>
      </c>
      <c r="D9" s="663" t="s">
        <v>1610</v>
      </c>
      <c r="E9" s="667"/>
      <c r="F9" s="667"/>
      <c r="G9" s="667"/>
      <c r="H9" s="667"/>
      <c r="I9" s="667"/>
      <c r="J9" s="667"/>
    </row>
    <row r="10" spans="1:10" ht="24.75" customHeight="1">
      <c r="A10" s="649" t="s">
        <v>1802</v>
      </c>
      <c r="B10" s="666"/>
      <c r="C10" s="677"/>
      <c r="D10" s="676"/>
      <c r="E10" s="668"/>
      <c r="F10" s="668"/>
      <c r="G10" s="669"/>
      <c r="H10" s="669"/>
      <c r="I10" s="669"/>
      <c r="J10" s="669"/>
    </row>
    <row r="11" spans="1:10" ht="24.75" customHeight="1">
      <c r="A11" s="656"/>
      <c r="B11" s="659"/>
      <c r="C11" s="652"/>
      <c r="D11" s="674"/>
      <c r="E11" s="670"/>
      <c r="F11" s="670"/>
      <c r="G11" s="671"/>
      <c r="H11" s="671"/>
      <c r="I11" s="671"/>
      <c r="J11" s="671"/>
    </row>
    <row r="12" spans="1:10" ht="24.75" customHeight="1">
      <c r="A12" s="656"/>
      <c r="B12" s="659"/>
      <c r="C12" s="652"/>
      <c r="D12" s="674"/>
      <c r="E12" s="670"/>
      <c r="F12" s="670"/>
      <c r="G12" s="671"/>
      <c r="H12" s="671"/>
      <c r="I12" s="671"/>
      <c r="J12" s="671"/>
    </row>
    <row r="13" spans="1:10" ht="24.75" customHeight="1">
      <c r="A13" s="656"/>
      <c r="B13" s="659"/>
      <c r="C13" s="652"/>
      <c r="D13" s="674"/>
      <c r="E13" s="670"/>
      <c r="F13" s="670"/>
      <c r="G13" s="671"/>
      <c r="H13" s="671"/>
      <c r="I13" s="671"/>
      <c r="J13" s="671"/>
    </row>
    <row r="14" spans="1:10" ht="24.75" customHeight="1">
      <c r="A14" s="678" t="s">
        <v>913</v>
      </c>
      <c r="B14" s="679"/>
      <c r="C14" s="680"/>
      <c r="D14" s="681"/>
      <c r="E14" s="672"/>
      <c r="F14" s="672"/>
      <c r="G14" s="673"/>
      <c r="H14" s="673"/>
      <c r="I14" s="673"/>
      <c r="J14" s="673"/>
    </row>
    <row r="15" spans="1:10" ht="24.75" customHeight="1">
      <c r="A15" s="656"/>
      <c r="B15" s="659"/>
      <c r="C15" s="652"/>
      <c r="D15" s="674"/>
      <c r="E15" s="670"/>
      <c r="F15" s="670"/>
      <c r="G15" s="671"/>
      <c r="H15" s="671"/>
      <c r="I15" s="671"/>
      <c r="J15" s="671"/>
    </row>
    <row r="16" spans="1:10" ht="24.75" customHeight="1">
      <c r="A16" s="656"/>
      <c r="B16" s="659"/>
      <c r="C16" s="652"/>
      <c r="D16" s="674"/>
      <c r="E16" s="670"/>
      <c r="F16" s="670"/>
      <c r="G16" s="671"/>
      <c r="H16" s="671"/>
      <c r="I16" s="671"/>
      <c r="J16" s="671"/>
    </row>
    <row r="17" spans="1:10" ht="24.75" customHeight="1">
      <c r="A17" s="656"/>
      <c r="B17" s="659"/>
      <c r="C17" s="652"/>
      <c r="D17" s="674"/>
      <c r="E17" s="670"/>
      <c r="F17" s="670"/>
      <c r="G17" s="671"/>
      <c r="H17" s="671"/>
      <c r="I17" s="671"/>
      <c r="J17" s="671"/>
    </row>
    <row r="18" spans="1:10" ht="24.75" customHeight="1">
      <c r="A18" s="682" t="s">
        <v>1801</v>
      </c>
      <c r="B18" s="679"/>
      <c r="C18" s="680"/>
      <c r="D18" s="681"/>
      <c r="E18" s="670"/>
      <c r="F18" s="670"/>
      <c r="G18" s="671"/>
      <c r="H18" s="671"/>
      <c r="I18" s="671"/>
      <c r="J18" s="671"/>
    </row>
    <row r="19" spans="1:10" ht="24.75" customHeight="1">
      <c r="A19" s="656"/>
      <c r="B19" s="659"/>
      <c r="C19" s="652"/>
      <c r="D19" s="674"/>
      <c r="E19" s="670"/>
      <c r="F19" s="670"/>
      <c r="G19" s="671"/>
      <c r="H19" s="671"/>
      <c r="I19" s="671"/>
      <c r="J19" s="671"/>
    </row>
    <row r="20" spans="1:10" ht="24.75" customHeight="1">
      <c r="A20" s="656"/>
      <c r="B20" s="659"/>
      <c r="C20" s="652"/>
      <c r="D20" s="674"/>
      <c r="E20" s="670"/>
      <c r="F20" s="670"/>
      <c r="G20" s="671"/>
      <c r="H20" s="671"/>
      <c r="I20" s="671"/>
      <c r="J20" s="671"/>
    </row>
    <row r="21" spans="1:10" ht="24.75" customHeight="1">
      <c r="A21" s="656"/>
      <c r="B21" s="659"/>
      <c r="C21" s="652"/>
      <c r="D21" s="674"/>
      <c r="E21" s="670"/>
      <c r="F21" s="670"/>
      <c r="G21" s="671"/>
      <c r="H21" s="671"/>
      <c r="I21" s="671"/>
      <c r="J21" s="671"/>
    </row>
    <row r="22" spans="1:10" ht="24.75" customHeight="1">
      <c r="A22" s="682" t="s">
        <v>830</v>
      </c>
      <c r="B22" s="679"/>
      <c r="C22" s="680"/>
      <c r="D22" s="681"/>
      <c r="E22" s="672"/>
      <c r="F22" s="672"/>
      <c r="G22" s="673"/>
      <c r="H22" s="673"/>
      <c r="I22" s="673"/>
      <c r="J22" s="673"/>
    </row>
    <row r="23" spans="1:10" ht="24.75" customHeight="1">
      <c r="A23" s="656"/>
      <c r="B23" s="659"/>
      <c r="C23" s="652"/>
      <c r="D23" s="674"/>
      <c r="E23" s="670"/>
      <c r="F23" s="670"/>
      <c r="G23" s="671"/>
      <c r="H23" s="671"/>
      <c r="I23" s="671"/>
      <c r="J23" s="671"/>
    </row>
    <row r="24" spans="1:10" ht="24.75" customHeight="1">
      <c r="A24" s="656"/>
      <c r="B24" s="659"/>
      <c r="C24" s="652"/>
      <c r="D24" s="674"/>
      <c r="E24" s="670"/>
      <c r="F24" s="670"/>
      <c r="G24" s="671"/>
      <c r="H24" s="671"/>
      <c r="I24" s="671"/>
      <c r="J24" s="671"/>
    </row>
    <row r="25" spans="1:10" ht="24.75" customHeight="1">
      <c r="A25" s="656"/>
      <c r="B25" s="659"/>
      <c r="C25" s="652"/>
      <c r="D25" s="674"/>
      <c r="E25" s="670"/>
      <c r="F25" s="670"/>
      <c r="G25" s="671"/>
      <c r="H25" s="671"/>
      <c r="I25" s="671"/>
      <c r="J25" s="671"/>
    </row>
    <row r="26" spans="1:10" ht="24.75" customHeight="1">
      <c r="A26" s="682" t="s">
        <v>831</v>
      </c>
      <c r="B26" s="679"/>
      <c r="C26" s="680"/>
      <c r="D26" s="681"/>
      <c r="E26" s="672"/>
      <c r="F26" s="672"/>
      <c r="G26" s="673"/>
      <c r="H26" s="673"/>
      <c r="I26" s="673"/>
      <c r="J26" s="673"/>
    </row>
    <row r="27" spans="1:10" ht="24.75" customHeight="1">
      <c r="A27" s="657"/>
      <c r="B27" s="659"/>
      <c r="C27" s="652"/>
      <c r="D27" s="674"/>
      <c r="E27" s="670"/>
      <c r="F27" s="670"/>
      <c r="G27" s="671"/>
      <c r="H27" s="671"/>
      <c r="I27" s="671"/>
      <c r="J27" s="671"/>
    </row>
    <row r="28" spans="1:10" ht="24.75" customHeight="1">
      <c r="A28" s="657"/>
      <c r="B28" s="659"/>
      <c r="C28" s="652"/>
      <c r="D28" s="674"/>
      <c r="E28" s="670"/>
      <c r="F28" s="670"/>
      <c r="G28" s="671"/>
      <c r="H28" s="671"/>
      <c r="I28" s="671"/>
      <c r="J28" s="671"/>
    </row>
    <row r="29" spans="1:10" ht="24.75" customHeight="1" thickBot="1">
      <c r="A29" s="658"/>
      <c r="B29" s="660"/>
      <c r="C29" s="654"/>
      <c r="D29" s="675"/>
      <c r="E29" s="670"/>
      <c r="F29" s="670"/>
      <c r="G29" s="671"/>
      <c r="H29" s="671"/>
      <c r="I29" s="671"/>
      <c r="J29" s="671"/>
    </row>
    <row r="30" spans="1:10" ht="24.75" customHeight="1" thickBot="1">
      <c r="A30" s="683" t="s">
        <v>832</v>
      </c>
      <c r="B30" s="684"/>
      <c r="C30" s="685">
        <f>SUM(C11:C29)</f>
        <v>0</v>
      </c>
      <c r="D30" s="686">
        <f>SUM(D11:D29)</f>
        <v>0</v>
      </c>
      <c r="E30" s="670"/>
      <c r="F30" s="670"/>
      <c r="G30" s="671"/>
      <c r="H30" s="671"/>
      <c r="I30" s="671"/>
      <c r="J30" s="671"/>
    </row>
    <row r="31" ht="15">
      <c r="A31" s="416"/>
    </row>
    <row r="32" ht="15">
      <c r="A32" s="416"/>
    </row>
  </sheetData>
  <mergeCells count="1">
    <mergeCell ref="A8:D8"/>
  </mergeCells>
  <printOptions/>
  <pageMargins left="0.75" right="0.75" top="0.58" bottom="0.59" header="0.4" footer="0.4"/>
  <pageSetup horizontalDpi="600" verticalDpi="600" orientation="portrait" paperSize="9" r:id="rId1"/>
  <headerFooter alignWithMargins="0">
    <oddFooter>&amp;C&amp;P/&amp;N&amp;R&amp;A</oddFooter>
  </headerFooter>
</worksheet>
</file>

<file path=xl/worksheets/sheet19.xml><?xml version="1.0" encoding="utf-8"?>
<worksheet xmlns="http://schemas.openxmlformats.org/spreadsheetml/2006/main" xmlns:r="http://schemas.openxmlformats.org/officeDocument/2006/relationships">
  <sheetPr codeName="Munka37">
    <tabColor indexed="11"/>
  </sheetPr>
  <dimension ref="A1:J27"/>
  <sheetViews>
    <sheetView workbookViewId="0" topLeftCell="A1">
      <selection activeCell="A1" sqref="A1"/>
    </sheetView>
  </sheetViews>
  <sheetFormatPr defaultColWidth="9.00390625" defaultRowHeight="12.75"/>
  <cols>
    <col min="1" max="1" width="21.875" style="521" customWidth="1"/>
    <col min="2" max="2" width="19.625" style="521" customWidth="1"/>
    <col min="3" max="4" width="11.75390625" style="521" customWidth="1"/>
    <col min="5" max="10" width="10.75390625" style="521" customWidth="1"/>
    <col min="11" max="16384" width="9.125" style="521" customWidth="1"/>
  </cols>
  <sheetData>
    <row r="1" spans="1:10" s="372" customFormat="1" ht="15">
      <c r="A1" s="387" t="str">
        <f>'I.A.2'!A1</f>
        <v>Komáromi Távhő Kft</v>
      </c>
      <c r="B1" s="470"/>
      <c r="C1" s="470"/>
      <c r="D1" s="470"/>
      <c r="E1" s="470"/>
      <c r="G1" s="471"/>
      <c r="J1" s="389" t="str">
        <f>'I.A.1'!R1</f>
        <v>Kiegészítő melléklet 2016. december 31.Hőszolgáltatás </v>
      </c>
    </row>
    <row r="2" spans="1:10" s="372" customFormat="1" ht="15">
      <c r="A2" s="387"/>
      <c r="B2" s="470"/>
      <c r="C2" s="470"/>
      <c r="D2" s="470"/>
      <c r="E2" s="470"/>
      <c r="G2" s="471"/>
      <c r="J2" s="389" t="str">
        <f>'II.A'!H2</f>
        <v>II. Tájékoztató kiegészítések</v>
      </c>
    </row>
    <row r="3" spans="1:9" s="372" customFormat="1" ht="14.25" customHeight="1">
      <c r="A3" s="411" t="str">
        <f>KiegMell!A31</f>
        <v>A közzétett adatokat könyvvizsgáló ellenőrizte</v>
      </c>
      <c r="B3" s="472"/>
      <c r="C3" s="472"/>
      <c r="D3" s="472"/>
      <c r="E3" s="472"/>
      <c r="F3" s="472"/>
      <c r="G3" s="472"/>
      <c r="H3" s="472"/>
      <c r="I3" s="531"/>
    </row>
    <row r="5" ht="15.75" thickBot="1">
      <c r="A5" s="648" t="s">
        <v>1682</v>
      </c>
    </row>
    <row r="6" spans="1:10" ht="33.75" customHeight="1">
      <c r="A6" s="650" t="s">
        <v>1607</v>
      </c>
      <c r="B6" s="651" t="s">
        <v>1606</v>
      </c>
      <c r="C6" s="651" t="s">
        <v>1609</v>
      </c>
      <c r="D6" s="651" t="s">
        <v>1610</v>
      </c>
      <c r="E6" s="651" t="s">
        <v>1318</v>
      </c>
      <c r="F6" s="651" t="s">
        <v>860</v>
      </c>
      <c r="G6" s="651" t="s">
        <v>861</v>
      </c>
      <c r="H6" s="651" t="s">
        <v>498</v>
      </c>
      <c r="I6" s="651" t="s">
        <v>499</v>
      </c>
      <c r="J6" s="663" t="s">
        <v>1031</v>
      </c>
    </row>
    <row r="7" spans="1:10" s="525" customFormat="1" ht="19.5" customHeight="1">
      <c r="A7" s="678" t="s">
        <v>1799</v>
      </c>
      <c r="B7" s="677"/>
      <c r="C7" s="677"/>
      <c r="D7" s="677"/>
      <c r="E7" s="692"/>
      <c r="F7" s="692"/>
      <c r="G7" s="677"/>
      <c r="H7" s="677"/>
      <c r="I7" s="677"/>
      <c r="J7" s="697"/>
    </row>
    <row r="8" spans="1:10" s="525" customFormat="1" ht="19.5" customHeight="1">
      <c r="A8" s="656"/>
      <c r="B8" s="659"/>
      <c r="C8" s="652"/>
      <c r="D8" s="652"/>
      <c r="E8" s="661"/>
      <c r="F8" s="661"/>
      <c r="G8" s="653"/>
      <c r="H8" s="653"/>
      <c r="I8" s="653"/>
      <c r="J8" s="664">
        <f>SUM(E8:I8)</f>
        <v>0</v>
      </c>
    </row>
    <row r="9" spans="1:10" s="525" customFormat="1" ht="19.5" customHeight="1">
      <c r="A9" s="656"/>
      <c r="B9" s="659"/>
      <c r="C9" s="652"/>
      <c r="D9" s="652"/>
      <c r="E9" s="661"/>
      <c r="F9" s="661"/>
      <c r="G9" s="653"/>
      <c r="H9" s="653"/>
      <c r="I9" s="653"/>
      <c r="J9" s="664">
        <f>SUM(E9:I9)</f>
        <v>0</v>
      </c>
    </row>
    <row r="10" spans="1:10" s="525" customFormat="1" ht="19.5" customHeight="1">
      <c r="A10" s="656"/>
      <c r="B10" s="659"/>
      <c r="C10" s="652"/>
      <c r="D10" s="652"/>
      <c r="E10" s="661"/>
      <c r="F10" s="661"/>
      <c r="G10" s="653"/>
      <c r="H10" s="653"/>
      <c r="I10" s="653"/>
      <c r="J10" s="664">
        <f>SUM(E10:I10)</f>
        <v>0</v>
      </c>
    </row>
    <row r="11" spans="1:10" s="525" customFormat="1" ht="19.5" customHeight="1">
      <c r="A11" s="678" t="s">
        <v>1800</v>
      </c>
      <c r="B11" s="698"/>
      <c r="C11" s="699"/>
      <c r="D11" s="699"/>
      <c r="E11" s="700"/>
      <c r="F11" s="700"/>
      <c r="G11" s="701"/>
      <c r="H11" s="701"/>
      <c r="I11" s="701"/>
      <c r="J11" s="696"/>
    </row>
    <row r="12" spans="1:10" s="525" customFormat="1" ht="19.5" customHeight="1">
      <c r="A12" s="656"/>
      <c r="B12" s="659"/>
      <c r="C12" s="652"/>
      <c r="D12" s="652"/>
      <c r="E12" s="661"/>
      <c r="F12" s="661"/>
      <c r="G12" s="653"/>
      <c r="H12" s="653"/>
      <c r="I12" s="653"/>
      <c r="J12" s="664">
        <f>SUM(E12:I12)</f>
        <v>0</v>
      </c>
    </row>
    <row r="13" spans="1:10" s="525" customFormat="1" ht="19.5" customHeight="1">
      <c r="A13" s="656"/>
      <c r="B13" s="659"/>
      <c r="C13" s="652"/>
      <c r="D13" s="652"/>
      <c r="E13" s="661"/>
      <c r="F13" s="661"/>
      <c r="G13" s="653"/>
      <c r="H13" s="653"/>
      <c r="I13" s="653"/>
      <c r="J13" s="664">
        <f>SUM(E13:I13)</f>
        <v>0</v>
      </c>
    </row>
    <row r="14" spans="1:10" s="525" customFormat="1" ht="19.5" customHeight="1">
      <c r="A14" s="656"/>
      <c r="B14" s="659"/>
      <c r="C14" s="652"/>
      <c r="D14" s="652"/>
      <c r="E14" s="661"/>
      <c r="F14" s="661"/>
      <c r="G14" s="653"/>
      <c r="H14" s="653"/>
      <c r="I14" s="653"/>
      <c r="J14" s="664">
        <f>SUM(E14:I14)</f>
        <v>0</v>
      </c>
    </row>
    <row r="15" spans="1:10" s="525" customFormat="1" ht="19.5" customHeight="1">
      <c r="A15" s="682" t="s">
        <v>1608</v>
      </c>
      <c r="B15" s="679"/>
      <c r="C15" s="680"/>
      <c r="D15" s="680"/>
      <c r="E15" s="694"/>
      <c r="F15" s="694"/>
      <c r="G15" s="695"/>
      <c r="H15" s="695"/>
      <c r="I15" s="695"/>
      <c r="J15" s="696"/>
    </row>
    <row r="16" spans="1:10" s="525" customFormat="1" ht="19.5" customHeight="1">
      <c r="A16" s="656"/>
      <c r="B16" s="659"/>
      <c r="C16" s="652"/>
      <c r="D16" s="652"/>
      <c r="E16" s="661"/>
      <c r="F16" s="661"/>
      <c r="G16" s="653"/>
      <c r="H16" s="653"/>
      <c r="I16" s="653"/>
      <c r="J16" s="664">
        <f>SUM(E16:I16)</f>
        <v>0</v>
      </c>
    </row>
    <row r="17" spans="1:10" s="525" customFormat="1" ht="19.5" customHeight="1">
      <c r="A17" s="656"/>
      <c r="B17" s="659"/>
      <c r="C17" s="652"/>
      <c r="D17" s="652"/>
      <c r="E17" s="661"/>
      <c r="F17" s="661"/>
      <c r="G17" s="653"/>
      <c r="H17" s="653"/>
      <c r="I17" s="653"/>
      <c r="J17" s="664">
        <f>SUM(E17:I17)</f>
        <v>0</v>
      </c>
    </row>
    <row r="18" spans="1:10" s="525" customFormat="1" ht="19.5" customHeight="1">
      <c r="A18" s="656"/>
      <c r="B18" s="659"/>
      <c r="C18" s="652"/>
      <c r="D18" s="652"/>
      <c r="E18" s="661"/>
      <c r="F18" s="661"/>
      <c r="G18" s="653"/>
      <c r="H18" s="653"/>
      <c r="I18" s="653"/>
      <c r="J18" s="664">
        <f>SUM(E18:I18)</f>
        <v>0</v>
      </c>
    </row>
    <row r="19" spans="1:10" s="525" customFormat="1" ht="19.5" customHeight="1">
      <c r="A19" s="682" t="s">
        <v>828</v>
      </c>
      <c r="B19" s="679"/>
      <c r="C19" s="680"/>
      <c r="D19" s="680"/>
      <c r="E19" s="694"/>
      <c r="F19" s="694"/>
      <c r="G19" s="695"/>
      <c r="H19" s="695"/>
      <c r="I19" s="695"/>
      <c r="J19" s="696"/>
    </row>
    <row r="20" spans="1:10" s="525" customFormat="1" ht="19.5" customHeight="1">
      <c r="A20" s="656"/>
      <c r="B20" s="659"/>
      <c r="C20" s="652"/>
      <c r="D20" s="652"/>
      <c r="E20" s="661"/>
      <c r="F20" s="661"/>
      <c r="G20" s="653"/>
      <c r="H20" s="653"/>
      <c r="I20" s="653"/>
      <c r="J20" s="664">
        <f>SUM(E20:I20)</f>
        <v>0</v>
      </c>
    </row>
    <row r="21" spans="1:10" s="525" customFormat="1" ht="19.5" customHeight="1">
      <c r="A21" s="656"/>
      <c r="B21" s="659"/>
      <c r="C21" s="652"/>
      <c r="D21" s="652"/>
      <c r="E21" s="661"/>
      <c r="F21" s="661"/>
      <c r="G21" s="653"/>
      <c r="H21" s="653"/>
      <c r="I21" s="653"/>
      <c r="J21" s="664">
        <f>SUM(E21:I21)</f>
        <v>0</v>
      </c>
    </row>
    <row r="22" spans="1:10" s="525" customFormat="1" ht="19.5" customHeight="1">
      <c r="A22" s="656"/>
      <c r="B22" s="659"/>
      <c r="C22" s="652"/>
      <c r="D22" s="652"/>
      <c r="E22" s="661"/>
      <c r="F22" s="661"/>
      <c r="G22" s="653"/>
      <c r="H22" s="653"/>
      <c r="I22" s="653"/>
      <c r="J22" s="664">
        <f>SUM(E22:I22)</f>
        <v>0</v>
      </c>
    </row>
    <row r="23" spans="1:10" s="525" customFormat="1" ht="19.5" customHeight="1">
      <c r="A23" s="682" t="s">
        <v>827</v>
      </c>
      <c r="B23" s="679"/>
      <c r="C23" s="680"/>
      <c r="D23" s="680"/>
      <c r="E23" s="694"/>
      <c r="F23" s="694"/>
      <c r="G23" s="695"/>
      <c r="H23" s="695"/>
      <c r="I23" s="695"/>
      <c r="J23" s="696"/>
    </row>
    <row r="24" spans="1:10" s="525" customFormat="1" ht="19.5" customHeight="1">
      <c r="A24" s="657"/>
      <c r="B24" s="659"/>
      <c r="C24" s="652"/>
      <c r="D24" s="652"/>
      <c r="E24" s="661"/>
      <c r="F24" s="661"/>
      <c r="G24" s="653"/>
      <c r="H24" s="653"/>
      <c r="I24" s="653"/>
      <c r="J24" s="664">
        <f>SUM(E24:I24)</f>
        <v>0</v>
      </c>
    </row>
    <row r="25" spans="1:10" s="525" customFormat="1" ht="19.5" customHeight="1">
      <c r="A25" s="657"/>
      <c r="B25" s="659"/>
      <c r="C25" s="652"/>
      <c r="D25" s="652"/>
      <c r="E25" s="661"/>
      <c r="F25" s="661"/>
      <c r="G25" s="653"/>
      <c r="H25" s="653"/>
      <c r="I25" s="653"/>
      <c r="J25" s="664">
        <f>SUM(E25:I25)</f>
        <v>0</v>
      </c>
    </row>
    <row r="26" spans="1:10" s="525" customFormat="1" ht="19.5" customHeight="1" thickBot="1">
      <c r="A26" s="658"/>
      <c r="B26" s="660"/>
      <c r="C26" s="654"/>
      <c r="D26" s="654"/>
      <c r="E26" s="662"/>
      <c r="F26" s="662"/>
      <c r="G26" s="655"/>
      <c r="H26" s="655"/>
      <c r="I26" s="655"/>
      <c r="J26" s="702">
        <f>SUM(E26:I26)</f>
        <v>0</v>
      </c>
    </row>
    <row r="27" ht="15">
      <c r="A27" s="416"/>
    </row>
  </sheetData>
  <printOptions/>
  <pageMargins left="0.75" right="0.75" top="0.58" bottom="0.59" header="0.4" footer="0.4"/>
  <pageSetup horizontalDpi="600" verticalDpi="600" orientation="landscape" paperSize="9" r:id="rId1"/>
  <headerFooter alignWithMargins="0">
    <oddFooter>&amp;C&amp;P/&amp;N&amp;R&amp;A</oddFooter>
  </headerFooter>
</worksheet>
</file>

<file path=xl/worksheets/sheet2.xml><?xml version="1.0" encoding="utf-8"?>
<worksheet xmlns="http://schemas.openxmlformats.org/spreadsheetml/2006/main" xmlns:r="http://schemas.openxmlformats.org/officeDocument/2006/relationships">
  <sheetPr codeName="Munka64"/>
  <dimension ref="A1:E320"/>
  <sheetViews>
    <sheetView workbookViewId="0" topLeftCell="B1">
      <selection activeCell="D321" sqref="D321"/>
    </sheetView>
  </sheetViews>
  <sheetFormatPr defaultColWidth="9.00390625" defaultRowHeight="12.75"/>
  <cols>
    <col min="1" max="1" width="27.00390625" style="379" bestFit="1" customWidth="1"/>
    <col min="2" max="2" width="60.00390625" style="379" customWidth="1"/>
    <col min="3" max="3" width="69.125" style="379" bestFit="1" customWidth="1"/>
    <col min="4" max="4" width="56.00390625" style="379" bestFit="1" customWidth="1"/>
    <col min="5" max="16384" width="9.125" style="379" customWidth="1"/>
  </cols>
  <sheetData>
    <row r="1" spans="1:5" ht="12.75">
      <c r="A1" s="378" t="s">
        <v>614</v>
      </c>
      <c r="B1" s="378" t="s">
        <v>607</v>
      </c>
      <c r="C1" s="378" t="s">
        <v>608</v>
      </c>
      <c r="D1" s="378" t="s">
        <v>609</v>
      </c>
      <c r="E1" s="378"/>
    </row>
    <row r="2" spans="1:4" ht="12.75">
      <c r="A2" s="379" t="s">
        <v>615</v>
      </c>
      <c r="B2" s="379" t="s">
        <v>616</v>
      </c>
      <c r="C2" s="379" t="s">
        <v>610</v>
      </c>
      <c r="D2" s="379" t="s">
        <v>611</v>
      </c>
    </row>
    <row r="3" spans="1:4" ht="12.75">
      <c r="A3" s="379" t="s">
        <v>615</v>
      </c>
      <c r="B3" s="379" t="s">
        <v>1467</v>
      </c>
      <c r="C3" s="379" t="s">
        <v>612</v>
      </c>
      <c r="D3" s="379" t="s">
        <v>613</v>
      </c>
    </row>
    <row r="4" spans="1:4" ht="12.75">
      <c r="A4" s="379" t="s">
        <v>615</v>
      </c>
      <c r="B4" s="379" t="s">
        <v>617</v>
      </c>
      <c r="C4" s="379" t="s">
        <v>618</v>
      </c>
      <c r="D4" s="379" t="s">
        <v>873</v>
      </c>
    </row>
    <row r="5" spans="1:4" ht="12.75">
      <c r="A5" s="379" t="s">
        <v>615</v>
      </c>
      <c r="B5" s="379" t="s">
        <v>619</v>
      </c>
      <c r="C5" s="379" t="s">
        <v>521</v>
      </c>
      <c r="D5" s="379" t="s">
        <v>522</v>
      </c>
    </row>
    <row r="6" spans="1:4" ht="12.75">
      <c r="A6" s="379" t="s">
        <v>615</v>
      </c>
      <c r="B6" s="379" t="s">
        <v>506</v>
      </c>
      <c r="C6" s="379" t="s">
        <v>518</v>
      </c>
      <c r="D6" s="379" t="s">
        <v>501</v>
      </c>
    </row>
    <row r="7" spans="1:4" ht="12.75">
      <c r="A7" s="379" t="s">
        <v>523</v>
      </c>
      <c r="B7" s="379" t="s">
        <v>984</v>
      </c>
      <c r="C7" s="379" t="s">
        <v>667</v>
      </c>
      <c r="D7" s="379" t="s">
        <v>527</v>
      </c>
    </row>
    <row r="8" spans="1:4" ht="12.75">
      <c r="A8" s="379" t="s">
        <v>523</v>
      </c>
      <c r="B8" s="379" t="s">
        <v>1076</v>
      </c>
      <c r="C8" s="379" t="s">
        <v>529</v>
      </c>
      <c r="D8" s="379" t="s">
        <v>526</v>
      </c>
    </row>
    <row r="9" spans="1:4" ht="12.75">
      <c r="A9" s="379" t="s">
        <v>523</v>
      </c>
      <c r="B9" s="379" t="s">
        <v>1075</v>
      </c>
      <c r="C9" s="379" t="s">
        <v>530</v>
      </c>
      <c r="D9" s="379" t="s">
        <v>528</v>
      </c>
    </row>
    <row r="10" spans="1:4" ht="12.75">
      <c r="A10" s="379" t="s">
        <v>523</v>
      </c>
      <c r="B10" s="379" t="s">
        <v>1602</v>
      </c>
      <c r="C10" s="379" t="s">
        <v>761</v>
      </c>
      <c r="D10" s="379" t="s">
        <v>762</v>
      </c>
    </row>
    <row r="11" spans="1:4" ht="12.75">
      <c r="A11" s="379" t="s">
        <v>523</v>
      </c>
      <c r="B11" s="379" t="s">
        <v>462</v>
      </c>
      <c r="C11" s="379" t="s">
        <v>531</v>
      </c>
      <c r="D11" s="379" t="s">
        <v>532</v>
      </c>
    </row>
    <row r="12" spans="1:4" ht="12.75">
      <c r="A12" s="379" t="s">
        <v>523</v>
      </c>
      <c r="B12" s="380" t="s">
        <v>313</v>
      </c>
      <c r="C12" s="381" t="s">
        <v>976</v>
      </c>
      <c r="D12" s="379" t="s">
        <v>791</v>
      </c>
    </row>
    <row r="13" spans="1:4" ht="12.75">
      <c r="A13" s="379" t="s">
        <v>523</v>
      </c>
      <c r="B13" s="380" t="s">
        <v>1290</v>
      </c>
      <c r="C13" s="381" t="s">
        <v>793</v>
      </c>
      <c r="D13" s="379" t="s">
        <v>792</v>
      </c>
    </row>
    <row r="14" spans="1:4" ht="12.75">
      <c r="A14" s="379" t="s">
        <v>523</v>
      </c>
      <c r="B14" s="379" t="s">
        <v>1009</v>
      </c>
      <c r="C14" s="379" t="s">
        <v>670</v>
      </c>
      <c r="D14" s="379" t="s">
        <v>1340</v>
      </c>
    </row>
    <row r="15" spans="1:4" ht="12.75">
      <c r="A15" s="379" t="s">
        <v>523</v>
      </c>
      <c r="B15" s="379" t="s">
        <v>80</v>
      </c>
      <c r="C15" s="379" t="s">
        <v>81</v>
      </c>
      <c r="D15" s="379" t="s">
        <v>1542</v>
      </c>
    </row>
    <row r="16" spans="1:4" ht="12.75">
      <c r="A16" s="379" t="s">
        <v>523</v>
      </c>
      <c r="B16" s="379" t="s">
        <v>524</v>
      </c>
      <c r="C16" s="379" t="s">
        <v>1511</v>
      </c>
      <c r="D16" s="379" t="s">
        <v>484</v>
      </c>
    </row>
    <row r="17" spans="1:4" ht="12.75">
      <c r="A17" s="379" t="s">
        <v>523</v>
      </c>
      <c r="B17" s="379" t="s">
        <v>986</v>
      </c>
      <c r="C17" s="379" t="s">
        <v>671</v>
      </c>
      <c r="D17" s="379" t="s">
        <v>70</v>
      </c>
    </row>
    <row r="18" spans="1:4" ht="12.75">
      <c r="A18" s="379" t="s">
        <v>523</v>
      </c>
      <c r="B18" s="379" t="s">
        <v>985</v>
      </c>
      <c r="C18" s="379" t="s">
        <v>669</v>
      </c>
      <c r="D18" s="379" t="s">
        <v>519</v>
      </c>
    </row>
    <row r="19" spans="1:4" ht="12.75">
      <c r="A19" s="379" t="s">
        <v>523</v>
      </c>
      <c r="B19" s="379" t="s">
        <v>702</v>
      </c>
      <c r="C19" s="379" t="s">
        <v>1512</v>
      </c>
      <c r="D19" s="379" t="s">
        <v>520</v>
      </c>
    </row>
    <row r="20" spans="1:4" ht="12.75">
      <c r="A20" s="379" t="s">
        <v>279</v>
      </c>
      <c r="B20" s="379" t="s">
        <v>987</v>
      </c>
      <c r="C20" s="379" t="s">
        <v>1697</v>
      </c>
      <c r="D20" s="379" t="s">
        <v>978</v>
      </c>
    </row>
    <row r="21" spans="1:4" ht="12.75">
      <c r="A21" s="379" t="s">
        <v>279</v>
      </c>
      <c r="B21" s="379" t="s">
        <v>1147</v>
      </c>
      <c r="C21" s="379" t="s">
        <v>1698</v>
      </c>
      <c r="D21" s="379" t="s">
        <v>981</v>
      </c>
    </row>
    <row r="22" spans="1:4" ht="12.75">
      <c r="A22" s="379" t="s">
        <v>279</v>
      </c>
      <c r="B22" s="379" t="s">
        <v>250</v>
      </c>
      <c r="C22" s="379" t="s">
        <v>1694</v>
      </c>
      <c r="D22" s="379" t="s">
        <v>1695</v>
      </c>
    </row>
    <row r="23" spans="1:4" ht="12.75">
      <c r="A23" s="379" t="s">
        <v>279</v>
      </c>
      <c r="B23" s="379" t="s">
        <v>1303</v>
      </c>
      <c r="C23" s="379" t="s">
        <v>1301</v>
      </c>
      <c r="D23" s="379" t="s">
        <v>1302</v>
      </c>
    </row>
    <row r="24" spans="1:4" ht="12.75">
      <c r="A24" s="379" t="s">
        <v>279</v>
      </c>
      <c r="B24" s="379" t="s">
        <v>1527</v>
      </c>
      <c r="C24" s="379" t="s">
        <v>1707</v>
      </c>
      <c r="D24" s="379" t="s">
        <v>1613</v>
      </c>
    </row>
    <row r="25" spans="1:4" ht="12.75">
      <c r="A25" s="379" t="s">
        <v>279</v>
      </c>
      <c r="B25" s="379" t="s">
        <v>1528</v>
      </c>
      <c r="C25" s="379" t="s">
        <v>1699</v>
      </c>
      <c r="D25" s="379" t="s">
        <v>982</v>
      </c>
    </row>
    <row r="26" spans="1:4" ht="12.75">
      <c r="A26" s="379" t="s">
        <v>279</v>
      </c>
      <c r="B26" s="382" t="s">
        <v>251</v>
      </c>
      <c r="C26" s="379" t="s">
        <v>1700</v>
      </c>
      <c r="D26" s="379" t="s">
        <v>983</v>
      </c>
    </row>
    <row r="27" spans="1:4" ht="12.75">
      <c r="A27" s="379" t="s">
        <v>279</v>
      </c>
      <c r="B27" s="382" t="s">
        <v>1205</v>
      </c>
      <c r="C27" s="379" t="s">
        <v>1701</v>
      </c>
      <c r="D27" s="379" t="s">
        <v>1291</v>
      </c>
    </row>
    <row r="28" spans="1:4" ht="12.75">
      <c r="A28" s="379" t="s">
        <v>279</v>
      </c>
      <c r="B28" s="382" t="s">
        <v>1529</v>
      </c>
      <c r="C28" s="379" t="s">
        <v>867</v>
      </c>
      <c r="D28" s="379" t="s">
        <v>76</v>
      </c>
    </row>
    <row r="29" spans="1:4" ht="12.75">
      <c r="A29" s="379" t="s">
        <v>279</v>
      </c>
      <c r="B29" s="382" t="s">
        <v>1206</v>
      </c>
      <c r="C29" s="379" t="s">
        <v>1573</v>
      </c>
      <c r="D29" s="372" t="s">
        <v>1304</v>
      </c>
    </row>
    <row r="30" spans="1:4" ht="12.75">
      <c r="A30" s="379" t="s">
        <v>279</v>
      </c>
      <c r="B30" s="379" t="s">
        <v>993</v>
      </c>
      <c r="C30" s="379" t="s">
        <v>738</v>
      </c>
      <c r="D30" s="379" t="s">
        <v>1300</v>
      </c>
    </row>
    <row r="31" spans="1:4" ht="12.75">
      <c r="A31" s="379" t="s">
        <v>279</v>
      </c>
      <c r="B31" s="379" t="s">
        <v>459</v>
      </c>
      <c r="C31" s="379" t="s">
        <v>463</v>
      </c>
      <c r="D31" s="379" t="s">
        <v>1292</v>
      </c>
    </row>
    <row r="32" spans="1:4" ht="12.75">
      <c r="A32" s="379" t="s">
        <v>279</v>
      </c>
      <c r="B32" s="379" t="s">
        <v>656</v>
      </c>
      <c r="C32" s="379" t="s">
        <v>1702</v>
      </c>
      <c r="D32" s="372" t="s">
        <v>765</v>
      </c>
    </row>
    <row r="33" spans="1:4" ht="12.75">
      <c r="A33" s="379" t="s">
        <v>279</v>
      </c>
      <c r="B33" s="379" t="s">
        <v>657</v>
      </c>
      <c r="C33" s="379" t="s">
        <v>869</v>
      </c>
      <c r="D33" s="372" t="s">
        <v>766</v>
      </c>
    </row>
    <row r="34" spans="1:4" ht="12.75">
      <c r="A34" s="379" t="s">
        <v>279</v>
      </c>
      <c r="B34" s="379" t="s">
        <v>658</v>
      </c>
      <c r="C34" s="379" t="s">
        <v>1708</v>
      </c>
      <c r="D34" s="372" t="s">
        <v>767</v>
      </c>
    </row>
    <row r="35" spans="1:4" ht="12.75">
      <c r="A35" s="379" t="s">
        <v>279</v>
      </c>
      <c r="B35" s="379" t="s">
        <v>659</v>
      </c>
      <c r="C35" s="379" t="s">
        <v>870</v>
      </c>
      <c r="D35" s="372" t="s">
        <v>768</v>
      </c>
    </row>
    <row r="36" spans="1:4" ht="12.75">
      <c r="A36" s="379" t="s">
        <v>279</v>
      </c>
      <c r="B36" s="379" t="s">
        <v>660</v>
      </c>
      <c r="C36" s="379" t="s">
        <v>871</v>
      </c>
      <c r="D36" s="372" t="s">
        <v>769</v>
      </c>
    </row>
    <row r="37" spans="1:4" ht="12.75">
      <c r="A37" s="379" t="s">
        <v>279</v>
      </c>
      <c r="B37" s="379" t="s">
        <v>661</v>
      </c>
      <c r="C37" s="379" t="s">
        <v>872</v>
      </c>
      <c r="D37" s="372" t="s">
        <v>1633</v>
      </c>
    </row>
    <row r="38" spans="1:4" ht="12.75">
      <c r="A38" s="379" t="s">
        <v>279</v>
      </c>
      <c r="B38" s="379" t="s">
        <v>802</v>
      </c>
      <c r="C38" s="379" t="s">
        <v>1703</v>
      </c>
      <c r="D38" s="372" t="s">
        <v>1634</v>
      </c>
    </row>
    <row r="39" spans="1:4" ht="12.75">
      <c r="A39" s="379" t="s">
        <v>279</v>
      </c>
      <c r="B39" s="379" t="s">
        <v>460</v>
      </c>
      <c r="C39" s="379" t="s">
        <v>742</v>
      </c>
      <c r="D39" s="379" t="s">
        <v>1293</v>
      </c>
    </row>
    <row r="40" spans="1:4" ht="12.75">
      <c r="A40" s="379" t="s">
        <v>279</v>
      </c>
      <c r="B40" s="379" t="s">
        <v>464</v>
      </c>
      <c r="C40" s="379" t="s">
        <v>466</v>
      </c>
      <c r="D40" s="372" t="s">
        <v>757</v>
      </c>
    </row>
    <row r="41" spans="1:4" ht="12.75">
      <c r="A41" s="379" t="s">
        <v>279</v>
      </c>
      <c r="B41" s="379" t="s">
        <v>202</v>
      </c>
      <c r="C41" s="379" t="s">
        <v>639</v>
      </c>
      <c r="D41" s="372" t="s">
        <v>1598</v>
      </c>
    </row>
    <row r="42" spans="1:4" ht="12.75">
      <c r="A42" s="379" t="s">
        <v>279</v>
      </c>
      <c r="B42" s="379" t="s">
        <v>465</v>
      </c>
      <c r="C42" s="379" t="s">
        <v>640</v>
      </c>
      <c r="D42" s="372" t="s">
        <v>1599</v>
      </c>
    </row>
    <row r="43" spans="1:4" ht="12.75">
      <c r="A43" s="379" t="s">
        <v>279</v>
      </c>
      <c r="B43" s="379" t="s">
        <v>203</v>
      </c>
      <c r="C43" s="379" t="s">
        <v>641</v>
      </c>
      <c r="D43" s="372" t="s">
        <v>1600</v>
      </c>
    </row>
    <row r="44" spans="1:4" ht="12.75">
      <c r="A44" s="379" t="s">
        <v>279</v>
      </c>
      <c r="B44" s="379" t="s">
        <v>206</v>
      </c>
      <c r="C44" s="379" t="s">
        <v>601</v>
      </c>
      <c r="D44" s="372" t="s">
        <v>1601</v>
      </c>
    </row>
    <row r="45" spans="1:4" ht="12.75">
      <c r="A45" s="379" t="s">
        <v>279</v>
      </c>
      <c r="B45" s="379" t="s">
        <v>346</v>
      </c>
      <c r="C45" s="379" t="s">
        <v>868</v>
      </c>
      <c r="D45" s="372" t="s">
        <v>1635</v>
      </c>
    </row>
    <row r="46" spans="1:4" ht="12.75">
      <c r="A46" s="379" t="s">
        <v>279</v>
      </c>
      <c r="B46" s="379" t="s">
        <v>1286</v>
      </c>
      <c r="C46" s="379" t="s">
        <v>1704</v>
      </c>
      <c r="D46" s="372" t="s">
        <v>1636</v>
      </c>
    </row>
    <row r="47" spans="1:4" ht="12.75">
      <c r="A47" s="379" t="s">
        <v>279</v>
      </c>
      <c r="B47" s="379" t="s">
        <v>208</v>
      </c>
      <c r="C47" s="379" t="s">
        <v>452</v>
      </c>
      <c r="D47" s="379" t="s">
        <v>1638</v>
      </c>
    </row>
    <row r="48" spans="1:4" ht="12.75">
      <c r="A48" s="379" t="s">
        <v>279</v>
      </c>
      <c r="B48" s="379" t="s">
        <v>209</v>
      </c>
      <c r="C48" s="379" t="s">
        <v>445</v>
      </c>
      <c r="D48" s="372" t="s">
        <v>408</v>
      </c>
    </row>
    <row r="49" spans="1:4" ht="12.75">
      <c r="A49" s="379" t="s">
        <v>279</v>
      </c>
      <c r="B49" s="379" t="s">
        <v>404</v>
      </c>
      <c r="C49" s="379" t="s">
        <v>443</v>
      </c>
      <c r="D49" s="372" t="s">
        <v>409</v>
      </c>
    </row>
    <row r="50" spans="1:4" ht="12.75">
      <c r="A50" s="379" t="s">
        <v>279</v>
      </c>
      <c r="B50" s="379" t="s">
        <v>210</v>
      </c>
      <c r="C50" s="379" t="s">
        <v>446</v>
      </c>
      <c r="D50" s="372" t="s">
        <v>410</v>
      </c>
    </row>
    <row r="51" spans="1:4" ht="12.75">
      <c r="A51" s="379" t="s">
        <v>279</v>
      </c>
      <c r="B51" s="379" t="s">
        <v>405</v>
      </c>
      <c r="C51" s="379" t="s">
        <v>444</v>
      </c>
      <c r="D51" s="372" t="s">
        <v>411</v>
      </c>
    </row>
    <row r="52" spans="1:4" ht="12.75">
      <c r="A52" s="379" t="s">
        <v>279</v>
      </c>
      <c r="B52" s="379" t="s">
        <v>211</v>
      </c>
      <c r="C52" s="379" t="s">
        <v>406</v>
      </c>
      <c r="D52" s="372" t="s">
        <v>1352</v>
      </c>
    </row>
    <row r="53" spans="1:4" ht="12.75">
      <c r="A53" s="379" t="s">
        <v>279</v>
      </c>
      <c r="B53" s="379" t="s">
        <v>212</v>
      </c>
      <c r="C53" s="379" t="s">
        <v>407</v>
      </c>
      <c r="D53" s="372" t="s">
        <v>1353</v>
      </c>
    </row>
    <row r="54" spans="1:4" ht="12.75">
      <c r="A54" s="379" t="s">
        <v>279</v>
      </c>
      <c r="B54" s="379" t="s">
        <v>1287</v>
      </c>
      <c r="C54" s="379" t="s">
        <v>1705</v>
      </c>
      <c r="D54" s="372" t="s">
        <v>1637</v>
      </c>
    </row>
    <row r="55" spans="1:4" ht="12.75">
      <c r="A55" s="379" t="s">
        <v>279</v>
      </c>
      <c r="B55" s="379" t="s">
        <v>1028</v>
      </c>
      <c r="C55" s="379" t="s">
        <v>1655</v>
      </c>
      <c r="D55" s="379" t="s">
        <v>1294</v>
      </c>
    </row>
    <row r="56" spans="1:4" ht="12.75">
      <c r="A56" s="379" t="s">
        <v>279</v>
      </c>
      <c r="B56" s="379" t="s">
        <v>504</v>
      </c>
      <c r="C56" s="379" t="s">
        <v>746</v>
      </c>
      <c r="D56" s="379" t="s">
        <v>78</v>
      </c>
    </row>
    <row r="57" spans="1:4" ht="12.75">
      <c r="A57" s="379" t="s">
        <v>279</v>
      </c>
      <c r="B57" s="379" t="s">
        <v>213</v>
      </c>
      <c r="C57" s="379" t="s">
        <v>534</v>
      </c>
      <c r="D57" s="372" t="s">
        <v>1656</v>
      </c>
    </row>
    <row r="58" spans="1:4" ht="12.75">
      <c r="A58" s="379" t="s">
        <v>279</v>
      </c>
      <c r="B58" s="379" t="s">
        <v>214</v>
      </c>
      <c r="C58" s="379" t="s">
        <v>535</v>
      </c>
      <c r="D58" s="372" t="s">
        <v>1657</v>
      </c>
    </row>
    <row r="59" spans="1:4" ht="12.75">
      <c r="A59" s="379" t="s">
        <v>279</v>
      </c>
      <c r="B59" s="379" t="s">
        <v>217</v>
      </c>
      <c r="C59" s="379" t="s">
        <v>536</v>
      </c>
      <c r="D59" s="372" t="s">
        <v>732</v>
      </c>
    </row>
    <row r="60" spans="1:4" ht="12.75">
      <c r="A60" s="379" t="s">
        <v>279</v>
      </c>
      <c r="B60" s="379" t="s">
        <v>218</v>
      </c>
      <c r="C60" s="379" t="s">
        <v>537</v>
      </c>
      <c r="D60" s="372" t="s">
        <v>733</v>
      </c>
    </row>
    <row r="61" spans="1:4" ht="12.75">
      <c r="A61" s="379" t="s">
        <v>279</v>
      </c>
      <c r="B61" s="379" t="s">
        <v>219</v>
      </c>
      <c r="C61" s="379" t="s">
        <v>538</v>
      </c>
      <c r="D61" s="372" t="s">
        <v>734</v>
      </c>
    </row>
    <row r="62" spans="1:4" ht="12.75">
      <c r="A62" s="379" t="s">
        <v>279</v>
      </c>
      <c r="B62" s="379" t="s">
        <v>220</v>
      </c>
      <c r="C62" s="379" t="s">
        <v>539</v>
      </c>
      <c r="D62" s="372" t="s">
        <v>735</v>
      </c>
    </row>
    <row r="63" spans="1:4" ht="12.75">
      <c r="A63" s="379" t="s">
        <v>279</v>
      </c>
      <c r="B63" s="379" t="s">
        <v>505</v>
      </c>
      <c r="C63" s="379" t="s">
        <v>747</v>
      </c>
      <c r="D63" s="379" t="s">
        <v>1643</v>
      </c>
    </row>
    <row r="64" spans="1:4" ht="12.75">
      <c r="A64" s="379" t="s">
        <v>279</v>
      </c>
      <c r="B64" s="379" t="s">
        <v>1306</v>
      </c>
      <c r="C64" s="379" t="s">
        <v>441</v>
      </c>
      <c r="D64" s="372" t="s">
        <v>1308</v>
      </c>
    </row>
    <row r="65" spans="1:4" ht="12.75">
      <c r="A65" s="379" t="s">
        <v>279</v>
      </c>
      <c r="B65" s="379" t="s">
        <v>1305</v>
      </c>
      <c r="C65" s="379" t="s">
        <v>974</v>
      </c>
      <c r="D65" s="372" t="s">
        <v>1309</v>
      </c>
    </row>
    <row r="66" spans="1:4" ht="12.75">
      <c r="A66" s="379" t="s">
        <v>279</v>
      </c>
      <c r="B66" s="379" t="s">
        <v>350</v>
      </c>
      <c r="C66" s="379" t="s">
        <v>975</v>
      </c>
      <c r="D66" s="372" t="s">
        <v>971</v>
      </c>
    </row>
    <row r="67" spans="1:4" ht="12.75">
      <c r="A67" s="379" t="s">
        <v>279</v>
      </c>
      <c r="B67" s="379" t="s">
        <v>221</v>
      </c>
      <c r="C67" s="379" t="s">
        <v>1307</v>
      </c>
      <c r="D67" s="372" t="s">
        <v>972</v>
      </c>
    </row>
    <row r="68" spans="1:4" ht="12.75">
      <c r="A68" s="379" t="s">
        <v>279</v>
      </c>
      <c r="B68" s="379" t="s">
        <v>222</v>
      </c>
      <c r="C68" s="379" t="s">
        <v>457</v>
      </c>
      <c r="D68" s="372" t="s">
        <v>973</v>
      </c>
    </row>
    <row r="69" spans="1:4" ht="12.75">
      <c r="A69" s="379" t="s">
        <v>279</v>
      </c>
      <c r="B69" s="379" t="s">
        <v>491</v>
      </c>
      <c r="C69" s="379" t="s">
        <v>763</v>
      </c>
      <c r="D69" s="379" t="s">
        <v>764</v>
      </c>
    </row>
    <row r="70" spans="1:4" ht="12.75">
      <c r="A70" s="379" t="s">
        <v>279</v>
      </c>
      <c r="B70" s="379" t="s">
        <v>223</v>
      </c>
      <c r="C70" s="379" t="s">
        <v>1361</v>
      </c>
      <c r="D70" s="372" t="s">
        <v>1357</v>
      </c>
    </row>
    <row r="71" spans="1:4" ht="12.75">
      <c r="A71" s="379" t="s">
        <v>279</v>
      </c>
      <c r="B71" s="379" t="s">
        <v>224</v>
      </c>
      <c r="C71" s="379" t="s">
        <v>1354</v>
      </c>
      <c r="D71" s="372" t="s">
        <v>1358</v>
      </c>
    </row>
    <row r="72" spans="1:4" ht="12.75">
      <c r="A72" s="379" t="s">
        <v>279</v>
      </c>
      <c r="B72" s="379" t="s">
        <v>225</v>
      </c>
      <c r="C72" s="379" t="s">
        <v>1355</v>
      </c>
      <c r="D72" s="372" t="s">
        <v>1359</v>
      </c>
    </row>
    <row r="73" spans="1:4" ht="12.75">
      <c r="A73" s="379" t="s">
        <v>279</v>
      </c>
      <c r="B73" s="379" t="s">
        <v>803</v>
      </c>
      <c r="C73" s="379" t="s">
        <v>1356</v>
      </c>
      <c r="D73" s="372" t="s">
        <v>1360</v>
      </c>
    </row>
    <row r="74" spans="1:4" ht="12.75">
      <c r="A74" s="379" t="s">
        <v>279</v>
      </c>
      <c r="B74" s="379" t="s">
        <v>226</v>
      </c>
      <c r="C74" s="379" t="s">
        <v>453</v>
      </c>
      <c r="D74" s="379" t="s">
        <v>1295</v>
      </c>
    </row>
    <row r="75" spans="1:4" ht="12.75">
      <c r="A75" s="379" t="s">
        <v>279</v>
      </c>
      <c r="B75" s="379" t="s">
        <v>1288</v>
      </c>
      <c r="C75" s="379" t="s">
        <v>492</v>
      </c>
      <c r="D75" s="372" t="s">
        <v>1348</v>
      </c>
    </row>
    <row r="76" spans="1:4" ht="12.75">
      <c r="A76" s="379" t="s">
        <v>279</v>
      </c>
      <c r="B76" s="379" t="s">
        <v>1289</v>
      </c>
      <c r="C76" s="379" t="s">
        <v>493</v>
      </c>
      <c r="D76" s="372" t="s">
        <v>1349</v>
      </c>
    </row>
    <row r="77" spans="1:4" ht="12.75">
      <c r="A77" s="379" t="s">
        <v>279</v>
      </c>
      <c r="B77" s="379" t="s">
        <v>229</v>
      </c>
      <c r="C77" s="379" t="s">
        <v>454</v>
      </c>
      <c r="D77" s="379" t="s">
        <v>1296</v>
      </c>
    </row>
    <row r="78" spans="1:4" ht="12.75">
      <c r="A78" s="379" t="s">
        <v>279</v>
      </c>
      <c r="B78" s="379" t="s">
        <v>230</v>
      </c>
      <c r="C78" s="379" t="s">
        <v>1017</v>
      </c>
      <c r="D78" s="372" t="s">
        <v>1020</v>
      </c>
    </row>
    <row r="79" spans="1:4" ht="12.75">
      <c r="A79" s="379" t="s">
        <v>279</v>
      </c>
      <c r="B79" s="379" t="s">
        <v>1016</v>
      </c>
      <c r="C79" s="379" t="s">
        <v>1018</v>
      </c>
      <c r="D79" s="372" t="s">
        <v>1021</v>
      </c>
    </row>
    <row r="80" spans="1:4" ht="12.75">
      <c r="A80" s="379" t="s">
        <v>279</v>
      </c>
      <c r="B80" s="379" t="s">
        <v>231</v>
      </c>
      <c r="C80" s="379" t="s">
        <v>1019</v>
      </c>
      <c r="D80" s="372" t="s">
        <v>1022</v>
      </c>
    </row>
    <row r="81" spans="1:4" ht="12.75">
      <c r="A81" s="379" t="s">
        <v>279</v>
      </c>
      <c r="B81" s="379" t="s">
        <v>461</v>
      </c>
      <c r="C81" s="379" t="s">
        <v>980</v>
      </c>
      <c r="D81" s="379" t="s">
        <v>979</v>
      </c>
    </row>
    <row r="82" spans="1:4" ht="12.75">
      <c r="A82" s="379" t="s">
        <v>279</v>
      </c>
      <c r="B82" s="379" t="s">
        <v>1031</v>
      </c>
      <c r="C82" s="379" t="s">
        <v>1347</v>
      </c>
      <c r="D82" s="379" t="s">
        <v>1297</v>
      </c>
    </row>
    <row r="83" spans="1:4" ht="12.75">
      <c r="A83" s="379" t="s">
        <v>279</v>
      </c>
      <c r="B83" s="379" t="s">
        <v>1318</v>
      </c>
      <c r="C83" s="379" t="s">
        <v>1611</v>
      </c>
      <c r="D83" s="372" t="s">
        <v>1612</v>
      </c>
    </row>
    <row r="84" spans="1:4" ht="12.75">
      <c r="A84" s="379" t="s">
        <v>279</v>
      </c>
      <c r="B84" s="379" t="s">
        <v>584</v>
      </c>
      <c r="C84" s="379" t="s">
        <v>585</v>
      </c>
      <c r="D84" s="379" t="s">
        <v>586</v>
      </c>
    </row>
    <row r="85" spans="1:4" ht="12.75">
      <c r="A85" s="379" t="s">
        <v>279</v>
      </c>
      <c r="B85" s="379" t="s">
        <v>1696</v>
      </c>
      <c r="C85" s="379" t="s">
        <v>1346</v>
      </c>
      <c r="D85" s="372" t="s">
        <v>1639</v>
      </c>
    </row>
    <row r="86" spans="1:4" ht="12.75">
      <c r="A86" s="379" t="s">
        <v>279</v>
      </c>
      <c r="B86" s="379" t="s">
        <v>496</v>
      </c>
      <c r="C86" s="379" t="s">
        <v>748</v>
      </c>
      <c r="D86" s="372" t="s">
        <v>75</v>
      </c>
    </row>
    <row r="87" spans="1:4" ht="12.75">
      <c r="A87" s="379" t="s">
        <v>279</v>
      </c>
      <c r="B87" s="379" t="s">
        <v>497</v>
      </c>
      <c r="C87" s="379" t="s">
        <v>749</v>
      </c>
      <c r="D87" s="372" t="s">
        <v>352</v>
      </c>
    </row>
    <row r="88" spans="1:4" ht="12.75">
      <c r="A88" s="379" t="s">
        <v>279</v>
      </c>
      <c r="B88" s="379" t="s">
        <v>498</v>
      </c>
      <c r="C88" s="379" t="s">
        <v>750</v>
      </c>
      <c r="D88" s="372" t="s">
        <v>994</v>
      </c>
    </row>
    <row r="89" spans="1:4" ht="12.75">
      <c r="A89" s="379" t="s">
        <v>279</v>
      </c>
      <c r="B89" s="379" t="s">
        <v>1446</v>
      </c>
      <c r="C89" s="379" t="s">
        <v>458</v>
      </c>
      <c r="D89" s="372" t="s">
        <v>1640</v>
      </c>
    </row>
    <row r="90" spans="1:4" ht="12.75">
      <c r="A90" s="379" t="s">
        <v>279</v>
      </c>
      <c r="B90" s="379" t="s">
        <v>500</v>
      </c>
      <c r="C90" s="379" t="s">
        <v>652</v>
      </c>
      <c r="D90" s="379" t="s">
        <v>653</v>
      </c>
    </row>
    <row r="91" spans="1:4" ht="12.75">
      <c r="A91" s="379" t="s">
        <v>279</v>
      </c>
      <c r="B91" s="379" t="s">
        <v>643</v>
      </c>
      <c r="C91" s="379" t="s">
        <v>455</v>
      </c>
      <c r="D91" s="379" t="s">
        <v>1252</v>
      </c>
    </row>
    <row r="92" spans="1:4" ht="12.75">
      <c r="A92" s="379" t="s">
        <v>279</v>
      </c>
      <c r="B92" s="379" t="s">
        <v>1447</v>
      </c>
      <c r="C92" s="379" t="s">
        <v>581</v>
      </c>
      <c r="D92" s="372" t="s">
        <v>1312</v>
      </c>
    </row>
    <row r="93" spans="1:4" ht="12.75">
      <c r="A93" s="379" t="s">
        <v>279</v>
      </c>
      <c r="B93" s="379" t="s">
        <v>348</v>
      </c>
      <c r="C93" s="379" t="s">
        <v>582</v>
      </c>
      <c r="D93" s="372" t="s">
        <v>1313</v>
      </c>
    </row>
    <row r="94" spans="1:4" ht="12.75">
      <c r="A94" s="379" t="s">
        <v>279</v>
      </c>
      <c r="B94" s="379" t="s">
        <v>1448</v>
      </c>
      <c r="C94" s="379" t="s">
        <v>583</v>
      </c>
      <c r="D94" s="372" t="s">
        <v>1314</v>
      </c>
    </row>
    <row r="95" spans="1:4" ht="12.75">
      <c r="A95" s="379" t="s">
        <v>279</v>
      </c>
      <c r="B95" s="379" t="s">
        <v>1449</v>
      </c>
      <c r="C95" s="379" t="s">
        <v>456</v>
      </c>
      <c r="D95" s="379" t="s">
        <v>1642</v>
      </c>
    </row>
    <row r="96" spans="1:4" ht="12.75">
      <c r="A96" s="379" t="s">
        <v>279</v>
      </c>
      <c r="B96" s="379" t="s">
        <v>644</v>
      </c>
      <c r="C96" s="379" t="s">
        <v>751</v>
      </c>
      <c r="D96" s="379" t="s">
        <v>374</v>
      </c>
    </row>
    <row r="97" spans="1:4" ht="12.75">
      <c r="A97" s="379" t="s">
        <v>279</v>
      </c>
      <c r="B97" s="379" t="s">
        <v>379</v>
      </c>
      <c r="C97" s="379" t="s">
        <v>1214</v>
      </c>
      <c r="D97" s="372" t="s">
        <v>376</v>
      </c>
    </row>
    <row r="98" spans="1:4" ht="12.75">
      <c r="A98" s="379" t="s">
        <v>279</v>
      </c>
      <c r="B98" s="379" t="s">
        <v>380</v>
      </c>
      <c r="C98" s="379" t="s">
        <v>1215</v>
      </c>
      <c r="D98" s="372" t="s">
        <v>377</v>
      </c>
    </row>
    <row r="99" spans="1:4" ht="12.75">
      <c r="A99" s="379" t="s">
        <v>279</v>
      </c>
      <c r="B99" s="379" t="s">
        <v>1213</v>
      </c>
      <c r="C99" s="379" t="s">
        <v>378</v>
      </c>
      <c r="D99" s="372" t="s">
        <v>1216</v>
      </c>
    </row>
    <row r="100" spans="1:4" ht="12.75">
      <c r="A100" s="379" t="s">
        <v>279</v>
      </c>
      <c r="B100" s="379" t="s">
        <v>645</v>
      </c>
      <c r="C100" s="379" t="s">
        <v>752</v>
      </c>
      <c r="D100" s="379" t="s">
        <v>1217</v>
      </c>
    </row>
    <row r="101" spans="1:4" ht="12.75">
      <c r="A101" s="379" t="s">
        <v>279</v>
      </c>
      <c r="B101" s="379" t="s">
        <v>1450</v>
      </c>
      <c r="C101" s="379" t="s">
        <v>1226</v>
      </c>
      <c r="D101" s="372" t="s">
        <v>302</v>
      </c>
    </row>
    <row r="102" spans="1:4" ht="12.75">
      <c r="A102" s="379" t="s">
        <v>279</v>
      </c>
      <c r="B102" s="379" t="s">
        <v>1451</v>
      </c>
      <c r="C102" s="379" t="s">
        <v>1227</v>
      </c>
      <c r="D102" s="372" t="s">
        <v>303</v>
      </c>
    </row>
    <row r="103" spans="1:4" ht="12.75">
      <c r="A103" s="379" t="s">
        <v>279</v>
      </c>
      <c r="B103" s="379" t="s">
        <v>1452</v>
      </c>
      <c r="C103" s="379" t="s">
        <v>298</v>
      </c>
      <c r="D103" s="372" t="s">
        <v>304</v>
      </c>
    </row>
    <row r="104" spans="1:4" ht="12.75">
      <c r="A104" s="379" t="s">
        <v>279</v>
      </c>
      <c r="B104" s="379" t="s">
        <v>1453</v>
      </c>
      <c r="C104" s="379" t="s">
        <v>299</v>
      </c>
      <c r="D104" s="372" t="s">
        <v>305</v>
      </c>
    </row>
    <row r="105" spans="1:4" ht="12.75">
      <c r="A105" s="379" t="s">
        <v>279</v>
      </c>
      <c r="B105" s="379" t="s">
        <v>1454</v>
      </c>
      <c r="C105" s="379" t="s">
        <v>300</v>
      </c>
      <c r="D105" s="372" t="s">
        <v>1230</v>
      </c>
    </row>
    <row r="106" spans="1:4" ht="12.75">
      <c r="A106" s="379" t="s">
        <v>279</v>
      </c>
      <c r="B106" s="379" t="s">
        <v>1224</v>
      </c>
      <c r="C106" s="379" t="s">
        <v>421</v>
      </c>
      <c r="D106" s="372" t="s">
        <v>1231</v>
      </c>
    </row>
    <row r="107" spans="1:4" ht="12.75">
      <c r="A107" s="379" t="s">
        <v>279</v>
      </c>
      <c r="B107" s="379" t="s">
        <v>1225</v>
      </c>
      <c r="C107" s="379" t="s">
        <v>951</v>
      </c>
      <c r="D107" s="372" t="s">
        <v>419</v>
      </c>
    </row>
    <row r="108" spans="1:4" ht="12.75">
      <c r="A108" s="379" t="s">
        <v>279</v>
      </c>
      <c r="B108" s="379" t="s">
        <v>1455</v>
      </c>
      <c r="C108" s="379" t="s">
        <v>301</v>
      </c>
      <c r="D108" s="372" t="s">
        <v>420</v>
      </c>
    </row>
    <row r="109" spans="1:4" ht="12.75">
      <c r="A109" s="379" t="s">
        <v>279</v>
      </c>
      <c r="B109" s="379" t="s">
        <v>1326</v>
      </c>
      <c r="C109" s="379" t="s">
        <v>753</v>
      </c>
      <c r="D109" s="379" t="s">
        <v>154</v>
      </c>
    </row>
    <row r="110" spans="1:4" ht="12.75">
      <c r="A110" s="379" t="s">
        <v>279</v>
      </c>
      <c r="B110" s="379" t="s">
        <v>1456</v>
      </c>
      <c r="C110" s="379" t="s">
        <v>957</v>
      </c>
      <c r="D110" s="372" t="s">
        <v>970</v>
      </c>
    </row>
    <row r="111" spans="1:4" ht="12.75">
      <c r="A111" s="379" t="s">
        <v>279</v>
      </c>
      <c r="B111" s="379" t="s">
        <v>135</v>
      </c>
      <c r="C111" s="379" t="s">
        <v>731</v>
      </c>
      <c r="D111" s="379" t="s">
        <v>1298</v>
      </c>
    </row>
    <row r="112" spans="1:4" ht="12.75">
      <c r="A112" s="379" t="s">
        <v>279</v>
      </c>
      <c r="B112" s="379" t="s">
        <v>1457</v>
      </c>
      <c r="C112" s="379" t="s">
        <v>958</v>
      </c>
      <c r="D112" s="372" t="s">
        <v>969</v>
      </c>
    </row>
    <row r="113" spans="1:4" ht="12.75">
      <c r="A113" s="379" t="s">
        <v>279</v>
      </c>
      <c r="B113" s="379" t="s">
        <v>485</v>
      </c>
      <c r="C113" s="379" t="s">
        <v>959</v>
      </c>
      <c r="D113" s="372" t="s">
        <v>968</v>
      </c>
    </row>
    <row r="114" spans="1:4" ht="12.75">
      <c r="A114" s="379" t="s">
        <v>279</v>
      </c>
      <c r="B114" s="379" t="s">
        <v>157</v>
      </c>
      <c r="C114" s="379" t="s">
        <v>960</v>
      </c>
      <c r="D114" s="372" t="s">
        <v>967</v>
      </c>
    </row>
    <row r="115" spans="1:4" ht="12.75">
      <c r="A115" s="379" t="s">
        <v>279</v>
      </c>
      <c r="B115" s="379" t="s">
        <v>486</v>
      </c>
      <c r="C115" s="379" t="s">
        <v>961</v>
      </c>
      <c r="D115" s="372" t="s">
        <v>966</v>
      </c>
    </row>
    <row r="116" spans="1:4" ht="12.75">
      <c r="A116" s="379" t="s">
        <v>279</v>
      </c>
      <c r="B116" s="379" t="s">
        <v>160</v>
      </c>
      <c r="C116" s="379" t="s">
        <v>962</v>
      </c>
      <c r="D116" s="372" t="s">
        <v>965</v>
      </c>
    </row>
    <row r="117" spans="1:4" ht="12.75">
      <c r="A117" s="379" t="s">
        <v>279</v>
      </c>
      <c r="B117" s="379" t="s">
        <v>956</v>
      </c>
      <c r="C117" s="379" t="s">
        <v>963</v>
      </c>
      <c r="D117" s="372" t="s">
        <v>964</v>
      </c>
    </row>
    <row r="118" spans="1:4" ht="12.75">
      <c r="A118" s="379" t="s">
        <v>279</v>
      </c>
      <c r="B118" s="379" t="s">
        <v>1460</v>
      </c>
      <c r="C118" s="379" t="s">
        <v>1014</v>
      </c>
      <c r="D118" s="372" t="s">
        <v>1015</v>
      </c>
    </row>
    <row r="119" spans="1:4" ht="12.75">
      <c r="A119" s="379" t="s">
        <v>279</v>
      </c>
      <c r="B119" s="379" t="s">
        <v>1461</v>
      </c>
      <c r="C119" s="379" t="s">
        <v>1571</v>
      </c>
      <c r="D119" s="379" t="s">
        <v>977</v>
      </c>
    </row>
    <row r="120" spans="1:4" ht="12.75">
      <c r="A120" s="379" t="s">
        <v>279</v>
      </c>
      <c r="B120" s="379" t="s">
        <v>1462</v>
      </c>
      <c r="C120" s="379" t="s">
        <v>244</v>
      </c>
      <c r="D120" s="372" t="s">
        <v>245</v>
      </c>
    </row>
    <row r="121" spans="1:4" ht="12.75">
      <c r="A121" s="379" t="s">
        <v>279</v>
      </c>
      <c r="B121" s="379" t="s">
        <v>243</v>
      </c>
      <c r="C121" s="379" t="s">
        <v>1019</v>
      </c>
      <c r="D121" s="372" t="s">
        <v>246</v>
      </c>
    </row>
    <row r="122" spans="1:4" ht="12.75">
      <c r="A122" s="379" t="s">
        <v>279</v>
      </c>
      <c r="B122" s="379" t="s">
        <v>1463</v>
      </c>
      <c r="C122" s="379" t="s">
        <v>1017</v>
      </c>
      <c r="D122" s="372" t="s">
        <v>247</v>
      </c>
    </row>
    <row r="123" spans="1:4" ht="12.75">
      <c r="A123" s="379" t="s">
        <v>279</v>
      </c>
      <c r="B123" s="379" t="s">
        <v>1466</v>
      </c>
      <c r="C123" s="379" t="s">
        <v>1572</v>
      </c>
      <c r="D123" s="379" t="s">
        <v>1299</v>
      </c>
    </row>
    <row r="124" spans="1:4" ht="12.75">
      <c r="A124" s="379" t="s">
        <v>1706</v>
      </c>
      <c r="B124" s="379" t="s">
        <v>306</v>
      </c>
      <c r="C124" s="379" t="s">
        <v>668</v>
      </c>
      <c r="D124" s="379" t="s">
        <v>1008</v>
      </c>
    </row>
    <row r="125" spans="1:4" ht="12.75">
      <c r="A125" s="379" t="s">
        <v>1706</v>
      </c>
      <c r="B125" s="379" t="s">
        <v>307</v>
      </c>
      <c r="C125" s="379" t="s">
        <v>1000</v>
      </c>
      <c r="D125" s="379" t="s">
        <v>1001</v>
      </c>
    </row>
    <row r="126" spans="1:4" ht="12.75">
      <c r="A126" s="379" t="s">
        <v>1706</v>
      </c>
      <c r="B126" s="379" t="s">
        <v>1078</v>
      </c>
      <c r="C126" s="379" t="s">
        <v>1710</v>
      </c>
      <c r="D126" s="372" t="s">
        <v>1211</v>
      </c>
    </row>
    <row r="127" spans="1:4" ht="12.75">
      <c r="A127" s="379" t="s">
        <v>1706</v>
      </c>
      <c r="B127" s="379" t="s">
        <v>1080</v>
      </c>
      <c r="C127" s="379" t="s">
        <v>899</v>
      </c>
      <c r="D127" s="372" t="s">
        <v>1425</v>
      </c>
    </row>
    <row r="128" spans="1:4" ht="12.75">
      <c r="A128" s="379" t="s">
        <v>1706</v>
      </c>
      <c r="B128" s="379" t="s">
        <v>1261</v>
      </c>
      <c r="C128" s="379" t="s">
        <v>1521</v>
      </c>
      <c r="D128" s="379" t="s">
        <v>1188</v>
      </c>
    </row>
    <row r="129" spans="1:4" ht="12.75">
      <c r="A129" s="379" t="s">
        <v>1706</v>
      </c>
      <c r="B129" s="379" t="s">
        <v>1084</v>
      </c>
      <c r="C129" s="379" t="s">
        <v>1515</v>
      </c>
      <c r="D129" s="372" t="s">
        <v>1426</v>
      </c>
    </row>
    <row r="130" spans="1:4" ht="12.75">
      <c r="A130" s="379" t="s">
        <v>1706</v>
      </c>
      <c r="B130" s="379" t="s">
        <v>1086</v>
      </c>
      <c r="C130" s="379" t="s">
        <v>601</v>
      </c>
      <c r="D130" s="372" t="s">
        <v>1427</v>
      </c>
    </row>
    <row r="131" spans="1:4" ht="12.75">
      <c r="A131" s="379" t="s">
        <v>1706</v>
      </c>
      <c r="B131" s="379" t="s">
        <v>1262</v>
      </c>
      <c r="C131" s="379" t="s">
        <v>1533</v>
      </c>
      <c r="D131" s="379" t="s">
        <v>1187</v>
      </c>
    </row>
    <row r="132" spans="1:4" ht="12.75">
      <c r="A132" s="379" t="s">
        <v>1706</v>
      </c>
      <c r="B132" s="379" t="s">
        <v>1091</v>
      </c>
      <c r="C132" s="379" t="s">
        <v>1502</v>
      </c>
      <c r="D132" s="372" t="s">
        <v>1428</v>
      </c>
    </row>
    <row r="133" spans="1:4" ht="12.75">
      <c r="A133" s="379" t="s">
        <v>1706</v>
      </c>
      <c r="B133" s="379" t="s">
        <v>1093</v>
      </c>
      <c r="C133" s="379" t="s">
        <v>403</v>
      </c>
      <c r="D133" s="379" t="s">
        <v>1186</v>
      </c>
    </row>
    <row r="134" spans="1:4" ht="12.75">
      <c r="A134" s="379" t="s">
        <v>1706</v>
      </c>
      <c r="B134" s="379" t="s">
        <v>1095</v>
      </c>
      <c r="C134" s="379" t="s">
        <v>900</v>
      </c>
      <c r="D134" s="372" t="s">
        <v>1315</v>
      </c>
    </row>
    <row r="135" spans="1:4" ht="12.75">
      <c r="A135" s="379" t="s">
        <v>1706</v>
      </c>
      <c r="B135" s="379" t="s">
        <v>1097</v>
      </c>
      <c r="C135" s="379" t="s">
        <v>901</v>
      </c>
      <c r="D135" s="372" t="s">
        <v>197</v>
      </c>
    </row>
    <row r="136" spans="1:4" ht="12.75">
      <c r="A136" s="379" t="s">
        <v>1706</v>
      </c>
      <c r="B136" s="379" t="s">
        <v>1099</v>
      </c>
      <c r="C136" s="379" t="s">
        <v>902</v>
      </c>
      <c r="D136" s="372" t="s">
        <v>1316</v>
      </c>
    </row>
    <row r="137" spans="1:4" ht="12.75">
      <c r="A137" s="379" t="s">
        <v>1706</v>
      </c>
      <c r="B137" s="379" t="s">
        <v>1101</v>
      </c>
      <c r="C137" s="379" t="s">
        <v>903</v>
      </c>
      <c r="D137" s="372" t="s">
        <v>1172</v>
      </c>
    </row>
    <row r="138" spans="1:4" ht="12.75">
      <c r="A138" s="379" t="s">
        <v>1706</v>
      </c>
      <c r="B138" s="379" t="s">
        <v>1106</v>
      </c>
      <c r="C138" s="379" t="s">
        <v>904</v>
      </c>
      <c r="D138" s="372" t="s">
        <v>1173</v>
      </c>
    </row>
    <row r="139" spans="1:4" ht="12.75">
      <c r="A139" s="379" t="s">
        <v>1706</v>
      </c>
      <c r="B139" s="379" t="s">
        <v>1263</v>
      </c>
      <c r="C139" s="379" t="s">
        <v>387</v>
      </c>
      <c r="D139" s="379" t="s">
        <v>357</v>
      </c>
    </row>
    <row r="140" spans="1:4" ht="12.75">
      <c r="A140" s="379" t="s">
        <v>1706</v>
      </c>
      <c r="B140" s="379" t="s">
        <v>1110</v>
      </c>
      <c r="C140" s="379" t="s">
        <v>1539</v>
      </c>
      <c r="D140" s="372" t="s">
        <v>1174</v>
      </c>
    </row>
    <row r="141" spans="1:4" ht="12.75">
      <c r="A141" s="379" t="s">
        <v>1706</v>
      </c>
      <c r="B141" s="379" t="s">
        <v>1112</v>
      </c>
      <c r="C141" s="379" t="s">
        <v>1540</v>
      </c>
      <c r="D141" s="372" t="s">
        <v>1150</v>
      </c>
    </row>
    <row r="142" spans="1:4" ht="12.75">
      <c r="A142" s="379" t="s">
        <v>1706</v>
      </c>
      <c r="B142" s="379" t="s">
        <v>1114</v>
      </c>
      <c r="C142" s="379" t="s">
        <v>1541</v>
      </c>
      <c r="D142" s="372" t="s">
        <v>1151</v>
      </c>
    </row>
    <row r="143" spans="1:4" ht="12.75">
      <c r="A143" s="379" t="s">
        <v>1706</v>
      </c>
      <c r="B143" s="379" t="s">
        <v>1264</v>
      </c>
      <c r="C143" s="379" t="s">
        <v>1534</v>
      </c>
      <c r="D143" s="379" t="s">
        <v>356</v>
      </c>
    </row>
    <row r="144" spans="1:4" ht="12.75">
      <c r="A144" s="379" t="s">
        <v>1706</v>
      </c>
      <c r="B144" s="379" t="s">
        <v>1119</v>
      </c>
      <c r="C144" s="379" t="s">
        <v>722</v>
      </c>
      <c r="D144" s="372" t="s">
        <v>1152</v>
      </c>
    </row>
    <row r="145" spans="1:4" ht="12.75">
      <c r="A145" s="379" t="s">
        <v>1706</v>
      </c>
      <c r="B145" s="379" t="s">
        <v>1122</v>
      </c>
      <c r="C145" s="379" t="s">
        <v>719</v>
      </c>
      <c r="D145" s="372" t="s">
        <v>1153</v>
      </c>
    </row>
    <row r="146" spans="1:4" ht="12.75">
      <c r="A146" s="379" t="s">
        <v>1706</v>
      </c>
      <c r="B146" s="379" t="s">
        <v>1124</v>
      </c>
      <c r="C146" s="379" t="s">
        <v>402</v>
      </c>
      <c r="D146" s="379" t="s">
        <v>355</v>
      </c>
    </row>
    <row r="147" spans="1:4" ht="12.75">
      <c r="A147" s="379" t="s">
        <v>1706</v>
      </c>
      <c r="B147" s="379" t="s">
        <v>483</v>
      </c>
      <c r="C147" s="379" t="s">
        <v>394</v>
      </c>
      <c r="D147" s="379" t="s">
        <v>354</v>
      </c>
    </row>
    <row r="148" spans="1:4" ht="12.75">
      <c r="A148" s="379" t="s">
        <v>1706</v>
      </c>
      <c r="B148" s="379" t="s">
        <v>1429</v>
      </c>
      <c r="C148" s="379" t="s">
        <v>666</v>
      </c>
      <c r="D148" s="372" t="s">
        <v>1154</v>
      </c>
    </row>
    <row r="149" spans="1:4" ht="12.75">
      <c r="A149" s="379" t="s">
        <v>1706</v>
      </c>
      <c r="B149" s="379" t="s">
        <v>1430</v>
      </c>
      <c r="C149" s="379" t="s">
        <v>422</v>
      </c>
      <c r="D149" s="379" t="s">
        <v>71</v>
      </c>
    </row>
    <row r="150" spans="1:4" ht="12.75">
      <c r="A150" s="379" t="s">
        <v>1706</v>
      </c>
      <c r="B150" s="379" t="s">
        <v>1431</v>
      </c>
      <c r="C150" s="379" t="s">
        <v>723</v>
      </c>
      <c r="D150" s="372" t="s">
        <v>1155</v>
      </c>
    </row>
    <row r="151" spans="1:4" ht="12.75">
      <c r="A151" s="379" t="s">
        <v>1706</v>
      </c>
      <c r="B151" s="379" t="s">
        <v>1432</v>
      </c>
      <c r="C151" s="379" t="s">
        <v>422</v>
      </c>
      <c r="D151" s="379" t="s">
        <v>71</v>
      </c>
    </row>
    <row r="152" spans="1:4" ht="12.75">
      <c r="A152" s="379" t="s">
        <v>1706</v>
      </c>
      <c r="B152" s="379" t="s">
        <v>1128</v>
      </c>
      <c r="C152" s="379" t="s">
        <v>724</v>
      </c>
      <c r="D152" s="372" t="s">
        <v>1265</v>
      </c>
    </row>
    <row r="153" spans="1:4" ht="12.75">
      <c r="A153" s="379" t="s">
        <v>1706</v>
      </c>
      <c r="B153" s="379" t="s">
        <v>1129</v>
      </c>
      <c r="C153" s="379" t="s">
        <v>422</v>
      </c>
      <c r="D153" s="379" t="s">
        <v>71</v>
      </c>
    </row>
    <row r="154" spans="1:4" ht="12.75">
      <c r="A154" s="379" t="s">
        <v>1706</v>
      </c>
      <c r="B154" s="379" t="s">
        <v>341</v>
      </c>
      <c r="C154" s="379" t="s">
        <v>725</v>
      </c>
      <c r="D154" s="372" t="s">
        <v>1266</v>
      </c>
    </row>
    <row r="155" spans="1:4" ht="12.75">
      <c r="A155" s="379" t="s">
        <v>1706</v>
      </c>
      <c r="B155" s="379" t="s">
        <v>1274</v>
      </c>
      <c r="C155" s="379" t="s">
        <v>422</v>
      </c>
      <c r="D155" s="379" t="s">
        <v>71</v>
      </c>
    </row>
    <row r="156" spans="1:4" ht="12.75">
      <c r="A156" s="379" t="s">
        <v>1706</v>
      </c>
      <c r="B156" s="379" t="s">
        <v>342</v>
      </c>
      <c r="C156" s="379" t="s">
        <v>726</v>
      </c>
      <c r="D156" s="372" t="s">
        <v>1267</v>
      </c>
    </row>
    <row r="157" spans="1:4" ht="12.75">
      <c r="A157" s="379" t="s">
        <v>1706</v>
      </c>
      <c r="B157" s="379" t="s">
        <v>1189</v>
      </c>
      <c r="C157" s="379" t="s">
        <v>1535</v>
      </c>
      <c r="D157" s="379" t="s">
        <v>353</v>
      </c>
    </row>
    <row r="158" spans="1:4" ht="12.75">
      <c r="A158" s="379" t="s">
        <v>1706</v>
      </c>
      <c r="B158" s="379" t="s">
        <v>662</v>
      </c>
      <c r="C158" s="379" t="s">
        <v>727</v>
      </c>
      <c r="D158" s="372" t="s">
        <v>1268</v>
      </c>
    </row>
    <row r="159" spans="1:4" ht="12.75">
      <c r="A159" s="379" t="s">
        <v>1706</v>
      </c>
      <c r="B159" s="379" t="s">
        <v>663</v>
      </c>
      <c r="C159" s="379" t="s">
        <v>1490</v>
      </c>
      <c r="D159" s="379" t="s">
        <v>1168</v>
      </c>
    </row>
    <row r="160" spans="1:4" ht="12.75">
      <c r="A160" s="379" t="s">
        <v>1706</v>
      </c>
      <c r="B160" s="379" t="s">
        <v>664</v>
      </c>
      <c r="C160" s="379" t="s">
        <v>1491</v>
      </c>
      <c r="D160" s="372" t="s">
        <v>1269</v>
      </c>
    </row>
    <row r="161" spans="1:4" ht="12.75">
      <c r="A161" s="379" t="s">
        <v>1706</v>
      </c>
      <c r="B161" s="379" t="s">
        <v>672</v>
      </c>
      <c r="C161" s="379" t="s">
        <v>1490</v>
      </c>
      <c r="D161" s="379" t="s">
        <v>1168</v>
      </c>
    </row>
    <row r="162" spans="1:4" ht="12.75">
      <c r="A162" s="379" t="s">
        <v>1706</v>
      </c>
      <c r="B162" s="379" t="s">
        <v>673</v>
      </c>
      <c r="C162" s="379" t="s">
        <v>1501</v>
      </c>
      <c r="D162" s="372" t="s">
        <v>1270</v>
      </c>
    </row>
    <row r="163" spans="1:4" ht="12.75">
      <c r="A163" s="379" t="s">
        <v>1706</v>
      </c>
      <c r="B163" s="379" t="s">
        <v>674</v>
      </c>
      <c r="C163" s="379" t="s">
        <v>1504</v>
      </c>
      <c r="D163" s="379" t="s">
        <v>349</v>
      </c>
    </row>
    <row r="164" spans="1:4" ht="12.75">
      <c r="A164" s="379" t="s">
        <v>1706</v>
      </c>
      <c r="B164" s="379" t="s">
        <v>1190</v>
      </c>
      <c r="C164" s="379" t="s">
        <v>1536</v>
      </c>
      <c r="D164" s="379" t="s">
        <v>351</v>
      </c>
    </row>
    <row r="165" spans="1:4" ht="12.75">
      <c r="A165" s="379" t="s">
        <v>1706</v>
      </c>
      <c r="B165" s="379" t="s">
        <v>1469</v>
      </c>
      <c r="C165" s="379" t="s">
        <v>1516</v>
      </c>
      <c r="D165" s="379" t="s">
        <v>373</v>
      </c>
    </row>
    <row r="166" spans="1:4" ht="12.75">
      <c r="A166" s="379" t="s">
        <v>1706</v>
      </c>
      <c r="B166" s="379" t="s">
        <v>1470</v>
      </c>
      <c r="C166" s="379" t="s">
        <v>1517</v>
      </c>
      <c r="D166" s="379" t="s">
        <v>372</v>
      </c>
    </row>
    <row r="167" spans="1:4" ht="12.75">
      <c r="A167" s="379" t="s">
        <v>1706</v>
      </c>
      <c r="B167" s="379" t="s">
        <v>679</v>
      </c>
      <c r="C167" s="379" t="s">
        <v>1505</v>
      </c>
      <c r="D167" s="372" t="s">
        <v>1271</v>
      </c>
    </row>
    <row r="168" spans="1:4" ht="12.75">
      <c r="A168" s="379" t="s">
        <v>1706</v>
      </c>
      <c r="B168" s="379" t="s">
        <v>681</v>
      </c>
      <c r="C168" s="379" t="s">
        <v>1506</v>
      </c>
      <c r="D168" s="372" t="s">
        <v>1272</v>
      </c>
    </row>
    <row r="169" spans="1:4" ht="12.75">
      <c r="A169" s="379" t="s">
        <v>1706</v>
      </c>
      <c r="B169" s="379" t="s">
        <v>1471</v>
      </c>
      <c r="C169" s="379" t="s">
        <v>1518</v>
      </c>
      <c r="D169" s="379" t="s">
        <v>371</v>
      </c>
    </row>
    <row r="170" spans="1:4" ht="12.75">
      <c r="A170" s="379" t="s">
        <v>1706</v>
      </c>
      <c r="B170" s="379" t="s">
        <v>646</v>
      </c>
      <c r="C170" s="379" t="s">
        <v>393</v>
      </c>
      <c r="D170" s="379" t="s">
        <v>332</v>
      </c>
    </row>
    <row r="171" spans="1:4" ht="12.75">
      <c r="A171" s="379" t="s">
        <v>1706</v>
      </c>
      <c r="B171" s="379" t="s">
        <v>685</v>
      </c>
      <c r="C171" s="379" t="s">
        <v>1507</v>
      </c>
      <c r="D171" s="372" t="s">
        <v>1273</v>
      </c>
    </row>
    <row r="172" spans="1:4" ht="12.75">
      <c r="A172" s="379" t="s">
        <v>1706</v>
      </c>
      <c r="B172" s="379" t="s">
        <v>647</v>
      </c>
      <c r="C172" s="379" t="s">
        <v>447</v>
      </c>
      <c r="D172" s="379" t="s">
        <v>1477</v>
      </c>
    </row>
    <row r="173" spans="1:4" ht="12.75">
      <c r="A173" s="379" t="s">
        <v>1706</v>
      </c>
      <c r="B173" s="379" t="s">
        <v>687</v>
      </c>
      <c r="C173" s="379" t="s">
        <v>1508</v>
      </c>
      <c r="D173" s="372" t="s">
        <v>426</v>
      </c>
    </row>
    <row r="174" spans="1:4" ht="12.75">
      <c r="A174" s="379" t="s">
        <v>1706</v>
      </c>
      <c r="B174" s="379" t="s">
        <v>688</v>
      </c>
      <c r="C174" s="379" t="s">
        <v>1509</v>
      </c>
      <c r="D174" s="372" t="s">
        <v>370</v>
      </c>
    </row>
    <row r="175" spans="1:4" ht="12.75">
      <c r="A175" s="379" t="s">
        <v>1706</v>
      </c>
      <c r="B175" s="379" t="s">
        <v>1191</v>
      </c>
      <c r="C175" s="379" t="s">
        <v>392</v>
      </c>
      <c r="D175" s="379" t="s">
        <v>1641</v>
      </c>
    </row>
    <row r="176" spans="1:4" ht="12.75">
      <c r="A176" s="379" t="s">
        <v>1169</v>
      </c>
      <c r="B176" s="379" t="s">
        <v>695</v>
      </c>
      <c r="C176" s="379" t="s">
        <v>1332</v>
      </c>
      <c r="D176" s="379" t="s">
        <v>386</v>
      </c>
    </row>
    <row r="177" spans="1:4" ht="12.75">
      <c r="A177" s="379" t="s">
        <v>1169</v>
      </c>
      <c r="B177" s="379" t="s">
        <v>1621</v>
      </c>
      <c r="C177" s="379" t="s">
        <v>1334</v>
      </c>
      <c r="D177" s="379" t="s">
        <v>1170</v>
      </c>
    </row>
    <row r="178" spans="1:4" ht="12.75">
      <c r="A178" s="379" t="s">
        <v>1169</v>
      </c>
      <c r="B178" s="379" t="s">
        <v>989</v>
      </c>
      <c r="C178" s="379" t="s">
        <v>1333</v>
      </c>
      <c r="D178" s="379" t="s">
        <v>1329</v>
      </c>
    </row>
    <row r="179" spans="1:4" ht="12.75">
      <c r="A179" s="379" t="s">
        <v>1169</v>
      </c>
      <c r="B179" s="379" t="s">
        <v>1472</v>
      </c>
      <c r="C179" s="379" t="s">
        <v>1335</v>
      </c>
      <c r="D179" s="379" t="s">
        <v>1330</v>
      </c>
    </row>
    <row r="180" spans="1:4" ht="12.75">
      <c r="A180" s="379" t="s">
        <v>1169</v>
      </c>
      <c r="B180" s="379" t="s">
        <v>1622</v>
      </c>
      <c r="C180" s="379" t="s">
        <v>1336</v>
      </c>
      <c r="D180" s="379" t="s">
        <v>1171</v>
      </c>
    </row>
    <row r="181" spans="1:4" ht="12.75">
      <c r="A181" s="379" t="s">
        <v>1169</v>
      </c>
      <c r="B181" s="379" t="s">
        <v>697</v>
      </c>
      <c r="C181" s="379" t="s">
        <v>1337</v>
      </c>
      <c r="D181" s="379" t="s">
        <v>1327</v>
      </c>
    </row>
    <row r="182" spans="1:4" ht="12.75">
      <c r="A182" s="379" t="s">
        <v>1169</v>
      </c>
      <c r="B182" s="379" t="s">
        <v>698</v>
      </c>
      <c r="C182" s="379" t="s">
        <v>1338</v>
      </c>
      <c r="D182" s="379" t="s">
        <v>1328</v>
      </c>
    </row>
    <row r="183" spans="1:4" ht="12.75">
      <c r="A183" s="379" t="s">
        <v>1169</v>
      </c>
      <c r="B183" s="379" t="s">
        <v>990</v>
      </c>
      <c r="C183" s="379" t="s">
        <v>1339</v>
      </c>
      <c r="D183" s="379" t="s">
        <v>1331</v>
      </c>
    </row>
    <row r="184" spans="1:4" ht="12.75">
      <c r="A184" s="379" t="s">
        <v>1169</v>
      </c>
      <c r="B184" s="379" t="s">
        <v>699</v>
      </c>
      <c r="C184" s="379" t="s">
        <v>422</v>
      </c>
      <c r="D184" s="379" t="s">
        <v>71</v>
      </c>
    </row>
    <row r="185" spans="1:4" ht="12.75">
      <c r="A185" s="379" t="s">
        <v>1169</v>
      </c>
      <c r="B185" s="379" t="s">
        <v>1626</v>
      </c>
      <c r="C185" s="379" t="s">
        <v>422</v>
      </c>
      <c r="D185" s="379" t="s">
        <v>71</v>
      </c>
    </row>
    <row r="186" spans="1:4" ht="12.75">
      <c r="A186" s="379" t="s">
        <v>1169</v>
      </c>
      <c r="B186" s="379" t="s">
        <v>1627</v>
      </c>
      <c r="C186" s="379" t="s">
        <v>422</v>
      </c>
      <c r="D186" s="379" t="s">
        <v>71</v>
      </c>
    </row>
    <row r="187" spans="1:4" ht="12.75">
      <c r="A187" s="379" t="s">
        <v>1169</v>
      </c>
      <c r="B187" s="379" t="s">
        <v>1522</v>
      </c>
      <c r="C187" s="379" t="s">
        <v>422</v>
      </c>
      <c r="D187" s="379" t="s">
        <v>71</v>
      </c>
    </row>
    <row r="188" spans="1:4" ht="12.75">
      <c r="A188" s="379" t="s">
        <v>1169</v>
      </c>
      <c r="B188" s="379" t="s">
        <v>700</v>
      </c>
      <c r="C188" s="379" t="s">
        <v>422</v>
      </c>
      <c r="D188" s="379" t="s">
        <v>71</v>
      </c>
    </row>
    <row r="189" spans="1:4" ht="12.75">
      <c r="A189" s="379" t="s">
        <v>1169</v>
      </c>
      <c r="B189" s="379" t="s">
        <v>701</v>
      </c>
      <c r="C189" s="379" t="s">
        <v>422</v>
      </c>
      <c r="D189" s="379" t="s">
        <v>71</v>
      </c>
    </row>
    <row r="190" spans="1:4" ht="12.75">
      <c r="A190" s="379" t="s">
        <v>423</v>
      </c>
      <c r="B190" s="379" t="s">
        <v>703</v>
      </c>
      <c r="C190" s="379" t="s">
        <v>696</v>
      </c>
      <c r="D190" s="379" t="s">
        <v>424</v>
      </c>
    </row>
    <row r="191" spans="1:4" ht="12.75">
      <c r="A191" s="379" t="s">
        <v>423</v>
      </c>
      <c r="B191" s="379" t="s">
        <v>708</v>
      </c>
      <c r="C191" s="379" t="s">
        <v>1519</v>
      </c>
      <c r="D191" s="372" t="s">
        <v>692</v>
      </c>
    </row>
    <row r="192" spans="1:4" ht="12.75">
      <c r="A192" s="379" t="s">
        <v>423</v>
      </c>
      <c r="B192" s="379" t="s">
        <v>711</v>
      </c>
      <c r="C192" s="379" t="s">
        <v>690</v>
      </c>
      <c r="D192" s="379" t="s">
        <v>691</v>
      </c>
    </row>
    <row r="193" spans="1:4" ht="12.75">
      <c r="A193" s="379" t="s">
        <v>423</v>
      </c>
      <c r="B193" s="379" t="s">
        <v>714</v>
      </c>
      <c r="C193" s="379" t="s">
        <v>1520</v>
      </c>
      <c r="D193" s="379" t="s">
        <v>693</v>
      </c>
    </row>
    <row r="194" spans="1:4" ht="12.75">
      <c r="A194" s="379" t="s">
        <v>423</v>
      </c>
      <c r="B194" s="379" t="s">
        <v>589</v>
      </c>
      <c r="C194" s="379" t="s">
        <v>588</v>
      </c>
      <c r="D194" s="379" t="s">
        <v>587</v>
      </c>
    </row>
    <row r="195" spans="1:4" ht="12.75">
      <c r="A195" s="379" t="s">
        <v>694</v>
      </c>
      <c r="B195" s="379" t="s">
        <v>1259</v>
      </c>
      <c r="C195" s="379" t="s">
        <v>278</v>
      </c>
      <c r="D195" s="379" t="s">
        <v>1415</v>
      </c>
    </row>
    <row r="196" spans="1:4" ht="12.75">
      <c r="A196" s="379" t="s">
        <v>694</v>
      </c>
      <c r="B196" s="379" t="s">
        <v>1260</v>
      </c>
      <c r="C196" s="379" t="s">
        <v>1503</v>
      </c>
      <c r="D196" s="379" t="s">
        <v>216</v>
      </c>
    </row>
    <row r="197" spans="1:4" ht="12.75">
      <c r="A197" s="379" t="s">
        <v>1411</v>
      </c>
      <c r="B197" s="379" t="s">
        <v>988</v>
      </c>
      <c r="C197" s="379" t="s">
        <v>1412</v>
      </c>
      <c r="D197" s="379" t="s">
        <v>1416</v>
      </c>
    </row>
    <row r="198" spans="1:4" ht="12.75">
      <c r="A198" s="379" t="s">
        <v>1411</v>
      </c>
      <c r="B198" s="379" t="s">
        <v>1260</v>
      </c>
      <c r="C198" s="379" t="s">
        <v>1503</v>
      </c>
      <c r="D198" s="379" t="s">
        <v>1417</v>
      </c>
    </row>
    <row r="199" spans="1:4" ht="12.75">
      <c r="A199" s="379" t="s">
        <v>1139</v>
      </c>
      <c r="B199" s="379" t="s">
        <v>1141</v>
      </c>
      <c r="C199" s="379" t="s">
        <v>1723</v>
      </c>
      <c r="D199" s="379" t="s">
        <v>79</v>
      </c>
    </row>
    <row r="200" spans="1:3" ht="12.75">
      <c r="A200" s="379" t="s">
        <v>1139</v>
      </c>
      <c r="B200" s="379" t="s">
        <v>1142</v>
      </c>
      <c r="C200" s="379" t="s">
        <v>1724</v>
      </c>
    </row>
    <row r="201" spans="1:3" ht="12.75">
      <c r="A201" s="379" t="s">
        <v>1139</v>
      </c>
      <c r="B201" s="379" t="s">
        <v>1143</v>
      </c>
      <c r="C201" s="379" t="s">
        <v>1725</v>
      </c>
    </row>
    <row r="202" spans="1:3" ht="12.75">
      <c r="A202" s="379" t="s">
        <v>1139</v>
      </c>
      <c r="B202" s="379" t="s">
        <v>1144</v>
      </c>
      <c r="C202" s="379" t="s">
        <v>1726</v>
      </c>
    </row>
    <row r="203" spans="1:3" ht="12.75">
      <c r="A203" s="379" t="s">
        <v>1139</v>
      </c>
      <c r="B203" s="379" t="s">
        <v>1145</v>
      </c>
      <c r="C203" s="379" t="s">
        <v>1140</v>
      </c>
    </row>
    <row r="204" spans="1:3" ht="12.75">
      <c r="A204" s="379" t="s">
        <v>1139</v>
      </c>
      <c r="B204" s="379" t="s">
        <v>1727</v>
      </c>
      <c r="C204" s="379" t="s">
        <v>1728</v>
      </c>
    </row>
    <row r="205" ht="12.75">
      <c r="A205" s="379" t="s">
        <v>1139</v>
      </c>
    </row>
    <row r="206" ht="12.75">
      <c r="A206" s="379" t="s">
        <v>1139</v>
      </c>
    </row>
    <row r="207" ht="12.75">
      <c r="A207" s="379" t="s">
        <v>1139</v>
      </c>
    </row>
    <row r="208" ht="12.75">
      <c r="A208" s="379" t="s">
        <v>1139</v>
      </c>
    </row>
    <row r="211" spans="1:4" ht="12.75">
      <c r="A211" s="379" t="s">
        <v>77</v>
      </c>
      <c r="B211" s="379" t="s">
        <v>1253</v>
      </c>
      <c r="C211" s="379" t="s">
        <v>1311</v>
      </c>
      <c r="D211" s="379" t="s">
        <v>1273</v>
      </c>
    </row>
    <row r="212" spans="1:4" ht="12.75">
      <c r="A212" s="379" t="s">
        <v>77</v>
      </c>
      <c r="B212" s="379" t="s">
        <v>1644</v>
      </c>
      <c r="C212" s="379" t="s">
        <v>1256</v>
      </c>
      <c r="D212" s="379" t="s">
        <v>1255</v>
      </c>
    </row>
    <row r="213" spans="1:4" ht="12.75">
      <c r="A213" s="379" t="s">
        <v>77</v>
      </c>
      <c r="B213" s="379" t="s">
        <v>1645</v>
      </c>
      <c r="C213" s="379" t="s">
        <v>1257</v>
      </c>
      <c r="D213" s="379" t="s">
        <v>1254</v>
      </c>
    </row>
    <row r="214" spans="1:4" ht="12.75">
      <c r="A214" s="379" t="s">
        <v>77</v>
      </c>
      <c r="B214" s="379" t="s">
        <v>333</v>
      </c>
      <c r="C214" s="379" t="s">
        <v>336</v>
      </c>
      <c r="D214" s="379" t="s">
        <v>339</v>
      </c>
    </row>
    <row r="215" spans="1:4" ht="12.75">
      <c r="A215" s="379" t="s">
        <v>77</v>
      </c>
      <c r="B215" s="379" t="s">
        <v>334</v>
      </c>
      <c r="C215" s="379" t="s">
        <v>337</v>
      </c>
      <c r="D215" s="379" t="s">
        <v>340</v>
      </c>
    </row>
    <row r="216" spans="1:4" ht="12.75">
      <c r="A216" s="379" t="s">
        <v>77</v>
      </c>
      <c r="B216" s="379" t="s">
        <v>335</v>
      </c>
      <c r="C216" s="379" t="s">
        <v>338</v>
      </c>
      <c r="D216" s="379" t="s">
        <v>1237</v>
      </c>
    </row>
    <row r="217" spans="1:4" ht="12.75">
      <c r="A217" s="379" t="s">
        <v>1310</v>
      </c>
      <c r="B217" s="379" t="s">
        <v>1646</v>
      </c>
      <c r="C217" s="379" t="s">
        <v>1238</v>
      </c>
      <c r="D217" s="379" t="s">
        <v>1239</v>
      </c>
    </row>
    <row r="218" spans="1:4" ht="12.75">
      <c r="A218" s="379" t="s">
        <v>1310</v>
      </c>
      <c r="B218" s="379" t="s">
        <v>1647</v>
      </c>
      <c r="C218" s="379" t="s">
        <v>1513</v>
      </c>
      <c r="D218" s="379" t="s">
        <v>1514</v>
      </c>
    </row>
    <row r="219" spans="1:4" ht="12.75">
      <c r="A219" s="379" t="s">
        <v>1310</v>
      </c>
      <c r="B219" s="379" t="s">
        <v>1648</v>
      </c>
      <c r="C219" s="379" t="s">
        <v>1241</v>
      </c>
      <c r="D219" s="379" t="s">
        <v>1240</v>
      </c>
    </row>
    <row r="220" spans="1:4" ht="12.75">
      <c r="A220" s="379" t="s">
        <v>1310</v>
      </c>
      <c r="B220" s="379" t="s">
        <v>646</v>
      </c>
      <c r="C220" s="379" t="s">
        <v>1242</v>
      </c>
      <c r="D220" s="379" t="s">
        <v>332</v>
      </c>
    </row>
    <row r="221" spans="1:4" ht="12.75">
      <c r="A221" s="379" t="s">
        <v>1310</v>
      </c>
      <c r="B221" s="379" t="s">
        <v>1650</v>
      </c>
      <c r="C221" s="379" t="s">
        <v>1243</v>
      </c>
      <c r="D221" s="379" t="s">
        <v>1486</v>
      </c>
    </row>
    <row r="222" spans="1:4" ht="12.75">
      <c r="A222" s="379" t="s">
        <v>1310</v>
      </c>
      <c r="B222" s="379" t="s">
        <v>533</v>
      </c>
      <c r="C222" s="379" t="s">
        <v>1244</v>
      </c>
      <c r="D222" s="379" t="s">
        <v>1487</v>
      </c>
    </row>
    <row r="223" spans="1:4" ht="12.75">
      <c r="A223" s="379" t="s">
        <v>1310</v>
      </c>
      <c r="B223" s="379" t="s">
        <v>1651</v>
      </c>
      <c r="C223" s="379" t="s">
        <v>1245</v>
      </c>
      <c r="D223" s="379" t="s">
        <v>1488</v>
      </c>
    </row>
    <row r="224" spans="1:4" ht="12.75">
      <c r="A224" s="379" t="s">
        <v>1310</v>
      </c>
      <c r="B224" s="379" t="s">
        <v>1652</v>
      </c>
      <c r="C224" s="379" t="s">
        <v>1246</v>
      </c>
      <c r="D224" s="379" t="s">
        <v>1489</v>
      </c>
    </row>
    <row r="225" spans="1:4" ht="12.75">
      <c r="A225" s="379" t="s">
        <v>1310</v>
      </c>
      <c r="B225" s="379" t="s">
        <v>1653</v>
      </c>
      <c r="C225" s="379" t="s">
        <v>1247</v>
      </c>
      <c r="D225" s="379" t="s">
        <v>542</v>
      </c>
    </row>
    <row r="226" spans="1:4" ht="12.75">
      <c r="A226" s="379" t="s">
        <v>1310</v>
      </c>
      <c r="B226" s="379" t="s">
        <v>1663</v>
      </c>
      <c r="C226" s="379" t="s">
        <v>1251</v>
      </c>
      <c r="D226" s="379" t="s">
        <v>1362</v>
      </c>
    </row>
    <row r="227" spans="1:4" ht="12.75">
      <c r="A227" s="379" t="s">
        <v>1310</v>
      </c>
      <c r="B227" s="379" t="s">
        <v>1664</v>
      </c>
      <c r="C227" s="379" t="s">
        <v>1479</v>
      </c>
      <c r="D227" s="379" t="s">
        <v>487</v>
      </c>
    </row>
    <row r="228" spans="1:4" ht="12.75">
      <c r="A228" s="379" t="s">
        <v>1310</v>
      </c>
      <c r="B228" s="379" t="s">
        <v>1665</v>
      </c>
      <c r="C228" s="379" t="s">
        <v>1480</v>
      </c>
      <c r="D228" s="379" t="s">
        <v>488</v>
      </c>
    </row>
    <row r="229" spans="1:4" ht="12.75">
      <c r="A229" s="379" t="s">
        <v>1310</v>
      </c>
      <c r="B229" s="379" t="s">
        <v>1666</v>
      </c>
      <c r="C229" s="379" t="s">
        <v>1481</v>
      </c>
      <c r="D229" s="379" t="s">
        <v>489</v>
      </c>
    </row>
    <row r="230" spans="1:4" ht="12.75">
      <c r="A230" s="379" t="s">
        <v>1310</v>
      </c>
      <c r="B230" s="379" t="s">
        <v>1667</v>
      </c>
      <c r="C230" s="379" t="s">
        <v>1482</v>
      </c>
      <c r="D230" s="379" t="s">
        <v>1494</v>
      </c>
    </row>
    <row r="231" spans="1:4" ht="12.75">
      <c r="A231" s="379" t="s">
        <v>1310</v>
      </c>
      <c r="B231" s="379" t="s">
        <v>1668</v>
      </c>
      <c r="C231" s="379" t="s">
        <v>1483</v>
      </c>
      <c r="D231" s="379" t="s">
        <v>1495</v>
      </c>
    </row>
    <row r="232" spans="1:4" ht="12.75">
      <c r="A232" s="379" t="s">
        <v>1310</v>
      </c>
      <c r="B232" s="379" t="s">
        <v>1669</v>
      </c>
      <c r="C232" s="379" t="s">
        <v>1484</v>
      </c>
      <c r="D232" s="379" t="s">
        <v>1363</v>
      </c>
    </row>
    <row r="233" spans="1:4" ht="12.75">
      <c r="A233" s="379" t="s">
        <v>1310</v>
      </c>
      <c r="B233" s="379" t="s">
        <v>1670</v>
      </c>
      <c r="C233" s="379" t="s">
        <v>562</v>
      </c>
      <c r="D233" s="379" t="s">
        <v>563</v>
      </c>
    </row>
    <row r="234" spans="1:4" ht="12.75">
      <c r="A234" s="379" t="s">
        <v>1310</v>
      </c>
      <c r="B234" s="379" t="s">
        <v>1671</v>
      </c>
      <c r="C234" s="379" t="s">
        <v>553</v>
      </c>
      <c r="D234" s="379" t="s">
        <v>554</v>
      </c>
    </row>
    <row r="235" spans="1:4" ht="12.75">
      <c r="A235" s="379" t="s">
        <v>1310</v>
      </c>
      <c r="B235" s="379" t="s">
        <v>1672</v>
      </c>
      <c r="C235" s="379" t="s">
        <v>555</v>
      </c>
      <c r="D235" s="379" t="s">
        <v>557</v>
      </c>
    </row>
    <row r="236" spans="1:4" ht="12.75">
      <c r="A236" s="379" t="s">
        <v>1310</v>
      </c>
      <c r="B236" s="379" t="s">
        <v>1673</v>
      </c>
      <c r="C236" s="379" t="s">
        <v>556</v>
      </c>
      <c r="D236" s="379" t="s">
        <v>558</v>
      </c>
    </row>
    <row r="237" spans="1:4" ht="12.75">
      <c r="A237" s="379" t="s">
        <v>1310</v>
      </c>
      <c r="B237" s="379" t="s">
        <v>1674</v>
      </c>
      <c r="C237" s="379" t="s">
        <v>1485</v>
      </c>
      <c r="D237" s="379" t="s">
        <v>1364</v>
      </c>
    </row>
    <row r="238" spans="1:4" ht="12.75">
      <c r="A238" s="379" t="s">
        <v>1310</v>
      </c>
      <c r="B238" s="379" t="s">
        <v>744</v>
      </c>
      <c r="C238" s="379" t="s">
        <v>561</v>
      </c>
      <c r="D238" s="379" t="s">
        <v>1526</v>
      </c>
    </row>
    <row r="239" spans="1:4" ht="12.75">
      <c r="A239" s="379" t="s">
        <v>1310</v>
      </c>
      <c r="B239" s="379" t="s">
        <v>1675</v>
      </c>
      <c r="C239" s="379" t="s">
        <v>559</v>
      </c>
      <c r="D239" s="379" t="s">
        <v>560</v>
      </c>
    </row>
    <row r="240" spans="1:4" ht="12.75">
      <c r="A240" s="379" t="s">
        <v>1310</v>
      </c>
      <c r="B240" s="379" t="s">
        <v>158</v>
      </c>
      <c r="C240" s="379" t="s">
        <v>189</v>
      </c>
      <c r="D240" s="379" t="s">
        <v>1218</v>
      </c>
    </row>
    <row r="241" spans="1:4" ht="12.75">
      <c r="A241" s="379" t="s">
        <v>1310</v>
      </c>
      <c r="B241" s="379" t="s">
        <v>159</v>
      </c>
      <c r="C241" s="379" t="s">
        <v>1148</v>
      </c>
      <c r="D241" s="379" t="s">
        <v>271</v>
      </c>
    </row>
    <row r="242" spans="1:4" ht="12.75">
      <c r="A242" s="379" t="s">
        <v>1310</v>
      </c>
      <c r="B242" s="379" t="s">
        <v>952</v>
      </c>
      <c r="C242" s="379" t="s">
        <v>1149</v>
      </c>
      <c r="D242" s="379" t="s">
        <v>272</v>
      </c>
    </row>
    <row r="243" spans="1:4" ht="12.75">
      <c r="A243" s="379" t="s">
        <v>1310</v>
      </c>
      <c r="B243" s="379" t="s">
        <v>953</v>
      </c>
      <c r="C243" s="379" t="s">
        <v>347</v>
      </c>
      <c r="D243" s="379" t="s">
        <v>344</v>
      </c>
    </row>
    <row r="244" spans="1:4" ht="12.75">
      <c r="A244" s="379" t="s">
        <v>1310</v>
      </c>
      <c r="B244" s="379" t="s">
        <v>954</v>
      </c>
      <c r="C244" s="379" t="s">
        <v>204</v>
      </c>
      <c r="D244" s="379" t="s">
        <v>345</v>
      </c>
    </row>
    <row r="245" spans="1:4" ht="12.75">
      <c r="A245" s="379" t="s">
        <v>1310</v>
      </c>
      <c r="B245" s="379" t="s">
        <v>955</v>
      </c>
      <c r="C245" s="379" t="s">
        <v>205</v>
      </c>
      <c r="D245" s="379" t="s">
        <v>270</v>
      </c>
    </row>
    <row r="246" spans="1:4" ht="12.75">
      <c r="A246" s="379" t="s">
        <v>1310</v>
      </c>
      <c r="B246" s="379" t="s">
        <v>1007</v>
      </c>
      <c r="C246" s="379" t="s">
        <v>1175</v>
      </c>
      <c r="D246" s="379" t="s">
        <v>269</v>
      </c>
    </row>
    <row r="247" spans="1:4" ht="12.75">
      <c r="A247" s="379" t="s">
        <v>1310</v>
      </c>
      <c r="B247" s="379" t="s">
        <v>59</v>
      </c>
      <c r="C247" s="379" t="s">
        <v>1176</v>
      </c>
      <c r="D247" s="379" t="s">
        <v>1185</v>
      </c>
    </row>
    <row r="248" spans="1:4" ht="12.75">
      <c r="A248" s="379" t="s">
        <v>1310</v>
      </c>
      <c r="B248" s="379" t="s">
        <v>60</v>
      </c>
      <c r="C248" s="379" t="s">
        <v>1177</v>
      </c>
      <c r="D248" s="379" t="s">
        <v>1184</v>
      </c>
    </row>
    <row r="249" spans="1:4" ht="12.75">
      <c r="A249" s="379" t="s">
        <v>1310</v>
      </c>
      <c r="B249" s="379" t="s">
        <v>61</v>
      </c>
      <c r="C249" s="379" t="s">
        <v>1178</v>
      </c>
      <c r="D249" s="379" t="s">
        <v>1183</v>
      </c>
    </row>
    <row r="250" spans="1:4" ht="12.75">
      <c r="A250" s="379" t="s">
        <v>1310</v>
      </c>
      <c r="B250" s="379" t="s">
        <v>62</v>
      </c>
      <c r="C250" s="379" t="s">
        <v>1179</v>
      </c>
      <c r="D250" s="379" t="s">
        <v>1182</v>
      </c>
    </row>
    <row r="251" spans="1:4" ht="12.75">
      <c r="A251" s="379" t="s">
        <v>1310</v>
      </c>
      <c r="B251" s="379" t="s">
        <v>1011</v>
      </c>
      <c r="C251" s="379" t="s">
        <v>1180</v>
      </c>
      <c r="D251" s="379" t="s">
        <v>1181</v>
      </c>
    </row>
    <row r="252" spans="1:3" ht="12.75">
      <c r="A252" s="379" t="s">
        <v>512</v>
      </c>
      <c r="B252" s="379" t="s">
        <v>511</v>
      </c>
      <c r="C252" s="379" t="s">
        <v>1248</v>
      </c>
    </row>
    <row r="253" spans="1:3" ht="12.75">
      <c r="A253" s="379" t="s">
        <v>512</v>
      </c>
      <c r="B253" s="379" t="s">
        <v>515</v>
      </c>
      <c r="C253" s="379" t="s">
        <v>755</v>
      </c>
    </row>
    <row r="254" spans="1:3" ht="12.75">
      <c r="A254" s="379" t="s">
        <v>512</v>
      </c>
      <c r="B254" s="379" t="s">
        <v>516</v>
      </c>
      <c r="C254" s="379" t="s">
        <v>1249</v>
      </c>
    </row>
    <row r="255" spans="1:3" ht="12.75">
      <c r="A255" s="379" t="s">
        <v>512</v>
      </c>
      <c r="B255" s="383" t="s">
        <v>628</v>
      </c>
      <c r="C255" s="379" t="s">
        <v>1250</v>
      </c>
    </row>
    <row r="256" spans="1:4" ht="12.75">
      <c r="A256" s="379" t="s">
        <v>512</v>
      </c>
      <c r="B256" s="379" t="s">
        <v>1024</v>
      </c>
      <c r="C256" s="379" t="s">
        <v>1578</v>
      </c>
      <c r="D256" s="379" t="s">
        <v>156</v>
      </c>
    </row>
    <row r="257" spans="1:3" ht="12.75">
      <c r="A257" s="379" t="s">
        <v>512</v>
      </c>
      <c r="B257" s="379" t="s">
        <v>992</v>
      </c>
      <c r="C257" s="379" t="s">
        <v>1574</v>
      </c>
    </row>
    <row r="258" spans="1:4" ht="12.75">
      <c r="A258" s="379" t="s">
        <v>512</v>
      </c>
      <c r="B258" s="379" t="s">
        <v>1023</v>
      </c>
      <c r="C258" s="379" t="s">
        <v>401</v>
      </c>
      <c r="D258" s="379" t="s">
        <v>198</v>
      </c>
    </row>
    <row r="259" spans="1:4" ht="12.75">
      <c r="A259" s="379" t="s">
        <v>512</v>
      </c>
      <c r="B259" s="379" t="s">
        <v>1025</v>
      </c>
      <c r="C259" s="379" t="s">
        <v>1576</v>
      </c>
      <c r="D259" s="379" t="s">
        <v>1036</v>
      </c>
    </row>
    <row r="260" spans="1:4" ht="12.75">
      <c r="A260" s="379" t="s">
        <v>512</v>
      </c>
      <c r="B260" s="379" t="s">
        <v>1026</v>
      </c>
      <c r="C260" s="379" t="s">
        <v>1577</v>
      </c>
      <c r="D260" s="379" t="s">
        <v>67</v>
      </c>
    </row>
    <row r="261" spans="1:3" ht="12.75">
      <c r="A261" s="379" t="s">
        <v>512</v>
      </c>
      <c r="B261" s="379" t="s">
        <v>1027</v>
      </c>
      <c r="C261" s="379" t="s">
        <v>1575</v>
      </c>
    </row>
    <row r="262" spans="1:4" ht="12.75">
      <c r="A262" s="379" t="s">
        <v>512</v>
      </c>
      <c r="B262" s="379" t="s">
        <v>1029</v>
      </c>
      <c r="C262" s="379" t="s">
        <v>155</v>
      </c>
      <c r="D262" s="379" t="s">
        <v>68</v>
      </c>
    </row>
    <row r="263" spans="1:3" ht="12.75">
      <c r="A263" s="379" t="s">
        <v>512</v>
      </c>
      <c r="B263" s="379" t="s">
        <v>1030</v>
      </c>
      <c r="C263" s="379" t="s">
        <v>1654</v>
      </c>
    </row>
    <row r="264" spans="1:4" ht="12.75">
      <c r="A264" s="379" t="s">
        <v>512</v>
      </c>
      <c r="B264" s="379" t="s">
        <v>1032</v>
      </c>
      <c r="C264" s="379" t="s">
        <v>1010</v>
      </c>
      <c r="D264" s="379" t="s">
        <v>199</v>
      </c>
    </row>
    <row r="265" spans="1:4" ht="12.75">
      <c r="A265" s="379" t="s">
        <v>512</v>
      </c>
      <c r="B265" s="379" t="s">
        <v>1033</v>
      </c>
      <c r="C265" s="379" t="s">
        <v>736</v>
      </c>
      <c r="D265" s="379" t="s">
        <v>200</v>
      </c>
    </row>
    <row r="266" spans="1:4" ht="12.75">
      <c r="A266" s="379" t="s">
        <v>512</v>
      </c>
      <c r="B266" s="379" t="s">
        <v>1034</v>
      </c>
      <c r="C266" s="379" t="s">
        <v>737</v>
      </c>
      <c r="D266" s="379" t="s">
        <v>69</v>
      </c>
    </row>
    <row r="267" spans="1:3" ht="12.75">
      <c r="A267" s="379" t="s">
        <v>512</v>
      </c>
      <c r="B267" s="379" t="s">
        <v>1035</v>
      </c>
      <c r="C267" s="379" t="s">
        <v>739</v>
      </c>
    </row>
    <row r="268" spans="1:3" ht="12.75">
      <c r="A268" s="379" t="s">
        <v>512</v>
      </c>
      <c r="B268" s="383" t="s">
        <v>64</v>
      </c>
      <c r="C268" s="383" t="s">
        <v>740</v>
      </c>
    </row>
    <row r="269" spans="1:3" ht="12.75">
      <c r="A269" s="379" t="s">
        <v>512</v>
      </c>
      <c r="B269" s="379" t="s">
        <v>65</v>
      </c>
      <c r="C269" s="379" t="s">
        <v>451</v>
      </c>
    </row>
    <row r="270" spans="1:3" ht="12.75">
      <c r="A270" s="379" t="s">
        <v>512</v>
      </c>
      <c r="B270" s="379" t="s">
        <v>66</v>
      </c>
      <c r="C270" s="379" t="s">
        <v>395</v>
      </c>
    </row>
    <row r="271" spans="1:3" ht="12.75">
      <c r="A271" s="379" t="s">
        <v>512</v>
      </c>
      <c r="B271" s="379" t="s">
        <v>72</v>
      </c>
      <c r="C271" s="379" t="s">
        <v>741</v>
      </c>
    </row>
    <row r="272" spans="1:3" ht="12.75">
      <c r="A272" s="379" t="s">
        <v>512</v>
      </c>
      <c r="B272" s="379" t="s">
        <v>73</v>
      </c>
      <c r="C272" s="379" t="s">
        <v>743</v>
      </c>
    </row>
    <row r="273" spans="1:3" ht="12.75">
      <c r="A273" s="379" t="s">
        <v>512</v>
      </c>
      <c r="B273" s="379" t="s">
        <v>74</v>
      </c>
      <c r="C273" s="379" t="s">
        <v>1103</v>
      </c>
    </row>
    <row r="274" spans="1:4" ht="12.75">
      <c r="A274" s="379" t="s">
        <v>512</v>
      </c>
      <c r="B274" s="383" t="s">
        <v>1595</v>
      </c>
      <c r="C274" s="379" t="s">
        <v>1596</v>
      </c>
      <c r="D274" s="383" t="s">
        <v>1104</v>
      </c>
    </row>
    <row r="275" spans="1:4" ht="12.75">
      <c r="A275" s="379" t="s">
        <v>512</v>
      </c>
      <c r="B275" s="383" t="s">
        <v>1317</v>
      </c>
      <c r="C275" s="379" t="s">
        <v>1722</v>
      </c>
      <c r="D275" s="383"/>
    </row>
    <row r="276" spans="1:4" ht="12.75">
      <c r="A276" s="379" t="s">
        <v>512</v>
      </c>
      <c r="B276" s="379" t="s">
        <v>1319</v>
      </c>
      <c r="C276" s="379" t="s">
        <v>745</v>
      </c>
      <c r="D276" s="379" t="s">
        <v>1105</v>
      </c>
    </row>
    <row r="277" spans="1:3" ht="12.75">
      <c r="A277" s="379" t="s">
        <v>512</v>
      </c>
      <c r="B277" s="379" t="s">
        <v>629</v>
      </c>
      <c r="C277" s="379" t="s">
        <v>1478</v>
      </c>
    </row>
    <row r="278" spans="1:3" ht="12.75">
      <c r="A278" s="379" t="s">
        <v>512</v>
      </c>
      <c r="B278" s="379" t="s">
        <v>1320</v>
      </c>
      <c r="C278" s="379" t="s">
        <v>754</v>
      </c>
    </row>
    <row r="279" spans="1:3" ht="12.75">
      <c r="A279" s="379" t="s">
        <v>512</v>
      </c>
      <c r="B279" s="379" t="s">
        <v>1321</v>
      </c>
      <c r="C279" s="379" t="s">
        <v>396</v>
      </c>
    </row>
    <row r="280" spans="1:3" ht="12.75">
      <c r="A280" s="379" t="s">
        <v>512</v>
      </c>
      <c r="B280" s="379" t="s">
        <v>1322</v>
      </c>
      <c r="C280" s="379" t="s">
        <v>276</v>
      </c>
    </row>
    <row r="281" spans="1:3" ht="12.75">
      <c r="A281" s="379" t="s">
        <v>512</v>
      </c>
      <c r="B281" s="379" t="s">
        <v>1323</v>
      </c>
      <c r="C281" s="379" t="s">
        <v>277</v>
      </c>
    </row>
    <row r="282" spans="1:3" ht="12.75">
      <c r="A282" s="379" t="s">
        <v>512</v>
      </c>
      <c r="B282" s="379" t="s">
        <v>1324</v>
      </c>
      <c r="C282" s="379" t="s">
        <v>397</v>
      </c>
    </row>
    <row r="283" spans="1:3" ht="12.75">
      <c r="A283" s="379" t="s">
        <v>513</v>
      </c>
      <c r="B283" s="379" t="s">
        <v>1013</v>
      </c>
      <c r="C283" s="379" t="s">
        <v>1435</v>
      </c>
    </row>
    <row r="284" spans="1:3" ht="12.75">
      <c r="A284" s="379" t="s">
        <v>513</v>
      </c>
      <c r="B284" s="379" t="s">
        <v>1436</v>
      </c>
      <c r="C284" s="384" t="s">
        <v>1437</v>
      </c>
    </row>
    <row r="285" spans="1:3" ht="12.75">
      <c r="A285" s="379" t="s">
        <v>513</v>
      </c>
      <c r="B285" s="379" t="s">
        <v>1325</v>
      </c>
      <c r="C285" s="384" t="s">
        <v>849</v>
      </c>
    </row>
    <row r="286" spans="1:4" ht="12.75">
      <c r="A286" s="379" t="s">
        <v>513</v>
      </c>
      <c r="B286" s="379" t="s">
        <v>579</v>
      </c>
      <c r="C286" s="384" t="s">
        <v>850</v>
      </c>
      <c r="D286" s="379" t="s">
        <v>717</v>
      </c>
    </row>
    <row r="287" spans="1:4" ht="12.75">
      <c r="A287" s="379" t="s">
        <v>513</v>
      </c>
      <c r="B287" s="379" t="s">
        <v>580</v>
      </c>
      <c r="C287" s="384" t="s">
        <v>851</v>
      </c>
      <c r="D287" s="379" t="s">
        <v>718</v>
      </c>
    </row>
    <row r="288" spans="1:3" ht="12.75">
      <c r="A288" s="379" t="s">
        <v>513</v>
      </c>
      <c r="B288" s="379" t="s">
        <v>1438</v>
      </c>
      <c r="C288" s="379" t="s">
        <v>1439</v>
      </c>
    </row>
    <row r="289" spans="1:4" ht="12.75">
      <c r="A289" s="379" t="s">
        <v>513</v>
      </c>
      <c r="B289" s="379" t="s">
        <v>590</v>
      </c>
      <c r="C289" s="379" t="s">
        <v>592</v>
      </c>
      <c r="D289" s="379" t="s">
        <v>591</v>
      </c>
    </row>
    <row r="290" spans="1:4" ht="12.75">
      <c r="A290" s="379" t="s">
        <v>513</v>
      </c>
      <c r="B290" s="379" t="s">
        <v>995</v>
      </c>
      <c r="C290" s="379" t="s">
        <v>593</v>
      </c>
      <c r="D290" s="379" t="s">
        <v>594</v>
      </c>
    </row>
    <row r="291" spans="1:4" ht="12.75">
      <c r="A291" s="379" t="s">
        <v>513</v>
      </c>
      <c r="B291" s="379" t="s">
        <v>998</v>
      </c>
      <c r="C291" s="379" t="s">
        <v>852</v>
      </c>
      <c r="D291" s="379" t="s">
        <v>595</v>
      </c>
    </row>
    <row r="292" spans="1:4" ht="12.75">
      <c r="A292" s="379" t="s">
        <v>513</v>
      </c>
      <c r="B292" s="379" t="s">
        <v>999</v>
      </c>
      <c r="C292" s="379" t="s">
        <v>1721</v>
      </c>
      <c r="D292" s="379" t="s">
        <v>596</v>
      </c>
    </row>
    <row r="293" spans="1:3" ht="12.75">
      <c r="A293" s="379" t="s">
        <v>513</v>
      </c>
      <c r="B293" s="379" t="s">
        <v>597</v>
      </c>
      <c r="C293" s="379" t="s">
        <v>598</v>
      </c>
    </row>
    <row r="294" spans="1:3" ht="12.75">
      <c r="A294" s="379" t="s">
        <v>513</v>
      </c>
      <c r="B294" s="379" t="s">
        <v>1440</v>
      </c>
      <c r="C294" s="379" t="s">
        <v>1441</v>
      </c>
    </row>
    <row r="295" spans="1:3" ht="12.75">
      <c r="A295" s="379" t="s">
        <v>513</v>
      </c>
      <c r="B295" s="379" t="s">
        <v>599</v>
      </c>
      <c r="C295" s="379" t="s">
        <v>1458</v>
      </c>
    </row>
    <row r="296" spans="1:3" ht="12.75">
      <c r="A296" s="379" t="s">
        <v>513</v>
      </c>
      <c r="B296" s="379" t="s">
        <v>1459</v>
      </c>
      <c r="C296" s="379" t="s">
        <v>1567</v>
      </c>
    </row>
    <row r="297" spans="1:3" ht="12.75">
      <c r="A297" s="379" t="s">
        <v>513</v>
      </c>
      <c r="B297" s="379" t="s">
        <v>1568</v>
      </c>
      <c r="C297" s="379" t="s">
        <v>1569</v>
      </c>
    </row>
    <row r="298" spans="1:3" ht="12.75">
      <c r="A298" s="379" t="s">
        <v>513</v>
      </c>
      <c r="B298" s="379" t="s">
        <v>1570</v>
      </c>
      <c r="C298" s="379" t="s">
        <v>600</v>
      </c>
    </row>
    <row r="299" spans="1:3" ht="12.75">
      <c r="A299" s="379" t="s">
        <v>513</v>
      </c>
      <c r="B299" s="379" t="s">
        <v>1442</v>
      </c>
      <c r="C299" s="379" t="s">
        <v>1443</v>
      </c>
    </row>
    <row r="300" spans="1:3" ht="12.75">
      <c r="A300" s="379" t="s">
        <v>513</v>
      </c>
      <c r="B300" s="379" t="s">
        <v>425</v>
      </c>
      <c r="C300" s="379" t="s">
        <v>399</v>
      </c>
    </row>
    <row r="301" spans="1:3" ht="12.75">
      <c r="A301" s="379" t="s">
        <v>513</v>
      </c>
      <c r="B301" s="379" t="s">
        <v>1404</v>
      </c>
      <c r="C301" s="379" t="s">
        <v>398</v>
      </c>
    </row>
    <row r="302" spans="1:3" ht="12.75">
      <c r="A302" s="379" t="s">
        <v>513</v>
      </c>
      <c r="B302" s="379" t="s">
        <v>1444</v>
      </c>
      <c r="C302" s="379" t="s">
        <v>1445</v>
      </c>
    </row>
    <row r="303" spans="1:3" ht="12.75">
      <c r="A303" s="379" t="s">
        <v>513</v>
      </c>
      <c r="B303" s="379" t="s">
        <v>1405</v>
      </c>
      <c r="C303" s="379" t="s">
        <v>400</v>
      </c>
    </row>
    <row r="304" spans="1:3" ht="12.75">
      <c r="A304" s="379" t="s">
        <v>513</v>
      </c>
      <c r="B304" s="379" t="s">
        <v>432</v>
      </c>
      <c r="C304" s="379" t="s">
        <v>1614</v>
      </c>
    </row>
    <row r="305" spans="1:3" ht="12.75">
      <c r="A305" s="379" t="s">
        <v>513</v>
      </c>
      <c r="B305" s="379" t="s">
        <v>433</v>
      </c>
      <c r="C305" s="379" t="s">
        <v>1615</v>
      </c>
    </row>
    <row r="306" spans="1:3" ht="12.75">
      <c r="A306" s="379" t="s">
        <v>514</v>
      </c>
      <c r="B306" s="379" t="s">
        <v>1473</v>
      </c>
      <c r="C306" s="379" t="s">
        <v>1474</v>
      </c>
    </row>
    <row r="307" spans="1:3" ht="12.75">
      <c r="A307" s="379" t="s">
        <v>514</v>
      </c>
      <c r="B307" s="379" t="s">
        <v>1475</v>
      </c>
      <c r="C307" s="379" t="s">
        <v>1476</v>
      </c>
    </row>
    <row r="308" spans="1:3" ht="12.75">
      <c r="A308" s="379" t="s">
        <v>514</v>
      </c>
      <c r="B308" s="379" t="s">
        <v>436</v>
      </c>
      <c r="C308" s="379" t="s">
        <v>448</v>
      </c>
    </row>
    <row r="309" spans="1:3" ht="12.75">
      <c r="A309" s="379" t="s">
        <v>514</v>
      </c>
      <c r="B309" s="379" t="s">
        <v>540</v>
      </c>
      <c r="C309" s="379" t="s">
        <v>541</v>
      </c>
    </row>
    <row r="310" spans="1:4" ht="12.75">
      <c r="A310" s="379" t="s">
        <v>514</v>
      </c>
      <c r="B310" s="379" t="s">
        <v>1031</v>
      </c>
      <c r="C310" s="379" t="s">
        <v>391</v>
      </c>
      <c r="D310" s="379" t="s">
        <v>1297</v>
      </c>
    </row>
    <row r="311" spans="1:3" ht="12.75">
      <c r="A311" s="379" t="s">
        <v>514</v>
      </c>
      <c r="B311" s="379" t="s">
        <v>434</v>
      </c>
      <c r="C311" s="379" t="s">
        <v>449</v>
      </c>
    </row>
    <row r="312" spans="1:3" ht="12.75">
      <c r="A312" s="379" t="s">
        <v>514</v>
      </c>
      <c r="B312" s="379" t="s">
        <v>435</v>
      </c>
      <c r="C312" s="379" t="s">
        <v>381</v>
      </c>
    </row>
    <row r="313" spans="1:3" ht="12.75">
      <c r="A313" s="379" t="s">
        <v>514</v>
      </c>
      <c r="B313" s="379" t="s">
        <v>437</v>
      </c>
      <c r="C313" s="379" t="s">
        <v>450</v>
      </c>
    </row>
    <row r="314" spans="1:3" ht="12.75">
      <c r="A314" s="379" t="s">
        <v>514</v>
      </c>
      <c r="B314" s="379" t="s">
        <v>382</v>
      </c>
      <c r="C314" s="379" t="s">
        <v>383</v>
      </c>
    </row>
    <row r="315" spans="1:3" ht="12.75">
      <c r="A315" s="379" t="s">
        <v>514</v>
      </c>
      <c r="B315" s="379" t="s">
        <v>384</v>
      </c>
      <c r="C315" s="379" t="s">
        <v>388</v>
      </c>
    </row>
    <row r="316" spans="1:3" ht="12.75">
      <c r="A316" s="379" t="s">
        <v>514</v>
      </c>
      <c r="B316" s="379" t="s">
        <v>389</v>
      </c>
      <c r="C316" s="379" t="s">
        <v>390</v>
      </c>
    </row>
    <row r="317" spans="1:3" ht="12.75">
      <c r="A317" s="379" t="s">
        <v>514</v>
      </c>
      <c r="B317" s="379" t="s">
        <v>650</v>
      </c>
      <c r="C317" s="379" t="s">
        <v>651</v>
      </c>
    </row>
    <row r="318" spans="1:3" ht="12.75">
      <c r="A318" s="379" t="s">
        <v>514</v>
      </c>
      <c r="B318" s="379" t="s">
        <v>654</v>
      </c>
      <c r="C318" s="379" t="s">
        <v>655</v>
      </c>
    </row>
    <row r="319" spans="1:4" ht="12.75">
      <c r="A319" s="379" t="s">
        <v>649</v>
      </c>
      <c r="B319" s="379" t="s">
        <v>648</v>
      </c>
      <c r="C319" s="379" t="s">
        <v>1413</v>
      </c>
      <c r="D319" s="379" t="s">
        <v>1414</v>
      </c>
    </row>
    <row r="320" spans="1:4" ht="12.75">
      <c r="A320" s="379" t="s">
        <v>649</v>
      </c>
      <c r="B320" s="379" t="s">
        <v>429</v>
      </c>
      <c r="C320" s="379" t="s">
        <v>430</v>
      </c>
      <c r="D320" s="379" t="s">
        <v>431</v>
      </c>
    </row>
  </sheetData>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Munka30">
    <tabColor indexed="11"/>
  </sheetPr>
  <dimension ref="A1:H14"/>
  <sheetViews>
    <sheetView workbookViewId="0" topLeftCell="A1">
      <selection activeCell="B12" sqref="B12"/>
    </sheetView>
  </sheetViews>
  <sheetFormatPr defaultColWidth="9.00390625" defaultRowHeight="12.75"/>
  <cols>
    <col min="1" max="1" width="60.625" style="521" customWidth="1"/>
    <col min="2" max="2" width="24.125" style="521" customWidth="1"/>
    <col min="3" max="4" width="20.75390625" style="521" customWidth="1"/>
    <col min="5" max="5" width="14.625" style="521" customWidth="1"/>
    <col min="6" max="6" width="10.125" style="521" customWidth="1"/>
    <col min="7" max="9" width="9.125" style="521" customWidth="1"/>
    <col min="10" max="10" width="12.375" style="521" customWidth="1"/>
    <col min="11" max="16384" width="9.125" style="521" customWidth="1"/>
  </cols>
  <sheetData>
    <row r="1" spans="1:7" s="372" customFormat="1" ht="15">
      <c r="A1" s="626" t="str">
        <f>'II.A'!A1</f>
        <v>Komáromi Távhő Kft</v>
      </c>
      <c r="B1" s="626"/>
      <c r="C1" s="470"/>
      <c r="D1" s="389" t="str">
        <f>'II.A'!H1</f>
        <v>Kiegészítő melléklet 2016. december 31.Hőszolgáltatás </v>
      </c>
      <c r="G1" s="471"/>
    </row>
    <row r="2" spans="1:7" s="372" customFormat="1" ht="15">
      <c r="A2" s="387"/>
      <c r="B2" s="387"/>
      <c r="C2" s="470"/>
      <c r="D2" s="389" t="str">
        <f>'II.A'!H2</f>
        <v>II. Tájékoztató kiegészítések</v>
      </c>
      <c r="G2" s="471"/>
    </row>
    <row r="3" spans="1:8" s="688" customFormat="1" ht="14.25" customHeight="1">
      <c r="A3" s="411" t="str">
        <f>'II.B.1'!A3</f>
        <v>A közzétett adatokat könyvvizsgáló ellenőrizte</v>
      </c>
      <c r="B3" s="411"/>
      <c r="C3" s="472"/>
      <c r="D3" s="472"/>
      <c r="E3" s="687"/>
      <c r="F3" s="687"/>
      <c r="G3" s="687"/>
      <c r="H3" s="687"/>
    </row>
    <row r="5" spans="1:8" s="628" customFormat="1" ht="17.25" thickBot="1">
      <c r="A5" s="947" t="s">
        <v>1683</v>
      </c>
      <c r="B5" s="840"/>
      <c r="C5" s="841"/>
      <c r="D5" s="841"/>
      <c r="E5" s="942"/>
      <c r="F5" s="942"/>
      <c r="G5" s="942"/>
      <c r="H5" s="942"/>
    </row>
    <row r="6" spans="1:4" s="403" customFormat="1" ht="32.25" customHeight="1">
      <c r="A6" s="1607" t="s">
        <v>494</v>
      </c>
      <c r="B6" s="1586" t="s">
        <v>809</v>
      </c>
      <c r="C6" s="1584" t="s">
        <v>858</v>
      </c>
      <c r="D6" s="1585" t="s">
        <v>859</v>
      </c>
    </row>
    <row r="7" spans="1:4" s="388" customFormat="1" ht="30" customHeight="1">
      <c r="A7" s="1608" t="s">
        <v>805</v>
      </c>
      <c r="B7" s="943">
        <f>'L.A.III'!U16</f>
        <v>0</v>
      </c>
      <c r="C7" s="576"/>
      <c r="D7" s="577"/>
    </row>
    <row r="8" spans="1:4" s="388" customFormat="1" ht="30" customHeight="1">
      <c r="A8" s="1608" t="s">
        <v>49</v>
      </c>
      <c r="B8" s="943">
        <f>'L.B.II'!R17</f>
        <v>0</v>
      </c>
      <c r="C8" s="576"/>
      <c r="D8" s="577"/>
    </row>
    <row r="9" spans="1:4" s="388" customFormat="1" ht="30" customHeight="1">
      <c r="A9" s="1608" t="s">
        <v>806</v>
      </c>
      <c r="B9" s="943">
        <f>'L.F.I'!J11</f>
        <v>0</v>
      </c>
      <c r="C9" s="576"/>
      <c r="D9" s="577"/>
    </row>
    <row r="10" spans="1:4" s="388" customFormat="1" ht="30" customHeight="1">
      <c r="A10" s="1608" t="s">
        <v>808</v>
      </c>
      <c r="B10" s="943">
        <f>'L.F.II'!J36</f>
        <v>0</v>
      </c>
      <c r="C10" s="576"/>
      <c r="D10" s="577"/>
    </row>
    <row r="11" spans="1:4" s="388" customFormat="1" ht="30" customHeight="1">
      <c r="A11" s="1608" t="s">
        <v>807</v>
      </c>
      <c r="B11" s="943">
        <f>'L.F.III'!J36</f>
        <v>0</v>
      </c>
      <c r="C11" s="576"/>
      <c r="D11" s="577"/>
    </row>
    <row r="12" spans="1:4" s="388" customFormat="1" ht="30" customHeight="1">
      <c r="A12" s="1609" t="s">
        <v>810</v>
      </c>
      <c r="B12" s="944"/>
      <c r="C12" s="576"/>
      <c r="D12" s="577"/>
    </row>
    <row r="13" spans="1:4" s="388" customFormat="1" ht="30" customHeight="1">
      <c r="A13" s="1609" t="s">
        <v>811</v>
      </c>
      <c r="B13" s="944"/>
      <c r="C13" s="576"/>
      <c r="D13" s="577"/>
    </row>
    <row r="14" spans="1:4" s="388" customFormat="1" ht="30" customHeight="1" thickBot="1">
      <c r="A14" s="1610" t="s">
        <v>812</v>
      </c>
      <c r="B14" s="1611"/>
      <c r="C14" s="579"/>
      <c r="D14" s="580"/>
    </row>
    <row r="15" s="388" customFormat="1" ht="12.75"/>
    <row r="16" s="388" customFormat="1" ht="12.75"/>
    <row r="17" s="388" customFormat="1" ht="12.75"/>
    <row r="18" s="388" customFormat="1" ht="12.75"/>
    <row r="19" s="388" customFormat="1" ht="12.75"/>
  </sheetData>
  <printOptions/>
  <pageMargins left="0.7874015748031497" right="0.7874015748031497" top="0.59" bottom="0.984251968503937" header="0.39" footer="0.5118110236220472"/>
  <pageSetup horizontalDpi="600" verticalDpi="600" orientation="landscape" paperSize="9" r:id="rId1"/>
  <headerFooter alignWithMargins="0">
    <oddFooter>&amp;C&amp;P/&amp;N&amp;R&amp;A</oddFooter>
  </headerFooter>
</worksheet>
</file>

<file path=xl/worksheets/sheet21.xml><?xml version="1.0" encoding="utf-8"?>
<worksheet xmlns="http://schemas.openxmlformats.org/spreadsheetml/2006/main" xmlns:r="http://schemas.openxmlformats.org/officeDocument/2006/relationships">
  <sheetPr codeName="Munka38">
    <tabColor indexed="11"/>
  </sheetPr>
  <dimension ref="A1:J43"/>
  <sheetViews>
    <sheetView workbookViewId="0" topLeftCell="A1">
      <selection activeCell="A3" sqref="A3"/>
    </sheetView>
  </sheetViews>
  <sheetFormatPr defaultColWidth="9.00390625" defaultRowHeight="12.75"/>
  <cols>
    <col min="1" max="1" width="38.125" style="521" customWidth="1"/>
    <col min="2" max="2" width="24.125" style="521" customWidth="1"/>
    <col min="3" max="4" width="11.75390625" style="521" customWidth="1"/>
    <col min="5" max="10" width="10.75390625" style="521" customWidth="1"/>
    <col min="11" max="16384" width="9.125" style="521" customWidth="1"/>
  </cols>
  <sheetData>
    <row r="1" spans="1:7" s="372" customFormat="1" ht="15">
      <c r="A1" s="387" t="str">
        <f>'I.A.2'!A1</f>
        <v>Komáromi Távhő Kft</v>
      </c>
      <c r="B1" s="470"/>
      <c r="C1" s="470"/>
      <c r="D1" s="389" t="str">
        <f>'I.A.1'!R1</f>
        <v>Kiegészítő melléklet 2016. december 31.Hőszolgáltatás </v>
      </c>
      <c r="E1" s="470"/>
      <c r="G1" s="471"/>
    </row>
    <row r="2" spans="1:7" s="372" customFormat="1" ht="15">
      <c r="A2" s="387"/>
      <c r="B2" s="470"/>
      <c r="C2" s="470"/>
      <c r="D2" s="389" t="str">
        <f>'II.A'!H2</f>
        <v>II. Tájékoztató kiegészítések</v>
      </c>
      <c r="E2" s="470"/>
      <c r="G2" s="471"/>
    </row>
    <row r="3" spans="1:8" s="688" customFormat="1" ht="14.25" customHeight="1">
      <c r="A3" s="411" t="str">
        <f>'I.A.1'!A3</f>
        <v>A közzétett adatokat könyvvizsgáló ellenőrizte</v>
      </c>
      <c r="B3" s="472"/>
      <c r="C3" s="472"/>
      <c r="D3" s="472"/>
      <c r="E3" s="687"/>
      <c r="F3" s="687"/>
      <c r="G3" s="687"/>
      <c r="H3" s="687"/>
    </row>
    <row r="5" spans="1:10" ht="43.5" customHeight="1">
      <c r="A5" s="2232" t="s">
        <v>846</v>
      </c>
      <c r="B5" s="2232"/>
      <c r="C5" s="2232"/>
      <c r="D5" s="2232"/>
      <c r="E5" s="705"/>
      <c r="F5" s="705"/>
      <c r="G5" s="705"/>
      <c r="H5" s="705"/>
      <c r="I5" s="705"/>
      <c r="J5" s="705"/>
    </row>
    <row r="6" spans="1:10" ht="15.75" thickBot="1">
      <c r="A6" s="1581"/>
      <c r="B6" s="1581"/>
      <c r="C6" s="1581"/>
      <c r="D6" s="1581"/>
      <c r="E6" s="705"/>
      <c r="F6" s="705"/>
      <c r="G6" s="705"/>
      <c r="H6" s="705"/>
      <c r="I6" s="705"/>
      <c r="J6" s="705"/>
    </row>
    <row r="7" spans="1:10" ht="33.75" customHeight="1">
      <c r="A7" s="650" t="s">
        <v>1607</v>
      </c>
      <c r="B7" s="651" t="s">
        <v>1606</v>
      </c>
      <c r="C7" s="651" t="s">
        <v>1609</v>
      </c>
      <c r="D7" s="663" t="s">
        <v>1610</v>
      </c>
      <c r="E7" s="667"/>
      <c r="F7" s="667"/>
      <c r="G7" s="667"/>
      <c r="H7" s="667"/>
      <c r="I7" s="667"/>
      <c r="J7" s="667"/>
    </row>
    <row r="8" spans="1:10" s="525" customFormat="1" ht="19.5" customHeight="1">
      <c r="A8" s="678" t="s">
        <v>914</v>
      </c>
      <c r="B8" s="677"/>
      <c r="C8" s="677"/>
      <c r="D8" s="693"/>
      <c r="E8" s="668"/>
      <c r="F8" s="668"/>
      <c r="G8" s="669"/>
      <c r="H8" s="669"/>
      <c r="I8" s="669"/>
      <c r="J8" s="703"/>
    </row>
    <row r="9" spans="1:10" s="525" customFormat="1" ht="19.5" customHeight="1">
      <c r="A9" s="706"/>
      <c r="B9" s="707"/>
      <c r="C9" s="652"/>
      <c r="D9" s="674"/>
      <c r="E9" s="670"/>
      <c r="F9" s="670"/>
      <c r="G9" s="671"/>
      <c r="H9" s="671"/>
      <c r="I9" s="671"/>
      <c r="J9" s="673"/>
    </row>
    <row r="10" spans="1:10" s="525" customFormat="1" ht="19.5" customHeight="1">
      <c r="A10" s="706"/>
      <c r="B10" s="707"/>
      <c r="C10" s="652"/>
      <c r="D10" s="674"/>
      <c r="E10" s="670"/>
      <c r="F10" s="670"/>
      <c r="G10" s="671"/>
      <c r="H10" s="671"/>
      <c r="I10" s="671"/>
      <c r="J10" s="673"/>
    </row>
    <row r="11" spans="1:10" s="525" customFormat="1" ht="19.5" customHeight="1">
      <c r="A11" s="706"/>
      <c r="B11" s="707"/>
      <c r="C11" s="652"/>
      <c r="D11" s="674"/>
      <c r="E11" s="670"/>
      <c r="F11" s="670"/>
      <c r="G11" s="671"/>
      <c r="H11" s="671"/>
      <c r="I11" s="671"/>
      <c r="J11" s="673"/>
    </row>
    <row r="12" spans="1:10" s="525" customFormat="1" ht="19.5" customHeight="1">
      <c r="A12" s="708" t="s">
        <v>915</v>
      </c>
      <c r="B12" s="709"/>
      <c r="C12" s="699"/>
      <c r="D12" s="704"/>
      <c r="E12" s="670"/>
      <c r="F12" s="670"/>
      <c r="G12" s="671"/>
      <c r="H12" s="671"/>
      <c r="I12" s="671"/>
      <c r="J12" s="673"/>
    </row>
    <row r="13" spans="1:10" s="525" customFormat="1" ht="19.5" customHeight="1">
      <c r="A13" s="706"/>
      <c r="B13" s="707"/>
      <c r="C13" s="652"/>
      <c r="D13" s="674"/>
      <c r="E13" s="670"/>
      <c r="F13" s="670"/>
      <c r="G13" s="671"/>
      <c r="H13" s="671"/>
      <c r="I13" s="671"/>
      <c r="J13" s="673"/>
    </row>
    <row r="14" spans="1:10" s="525" customFormat="1" ht="19.5" customHeight="1">
      <c r="A14" s="706"/>
      <c r="B14" s="707"/>
      <c r="C14" s="652"/>
      <c r="D14" s="674"/>
      <c r="E14" s="670"/>
      <c r="F14" s="670"/>
      <c r="G14" s="671"/>
      <c r="H14" s="671"/>
      <c r="I14" s="671"/>
      <c r="J14" s="673"/>
    </row>
    <row r="15" spans="1:10" s="525" customFormat="1" ht="19.5" customHeight="1">
      <c r="A15" s="706"/>
      <c r="B15" s="707"/>
      <c r="C15" s="652"/>
      <c r="D15" s="674"/>
      <c r="E15" s="670"/>
      <c r="F15" s="670"/>
      <c r="G15" s="671"/>
      <c r="H15" s="671"/>
      <c r="I15" s="671"/>
      <c r="J15" s="673"/>
    </row>
    <row r="16" spans="1:10" s="525" customFormat="1" ht="19.5" customHeight="1">
      <c r="A16" s="710" t="s">
        <v>916</v>
      </c>
      <c r="B16" s="711"/>
      <c r="C16" s="680"/>
      <c r="D16" s="681"/>
      <c r="E16" s="672"/>
      <c r="F16" s="672"/>
      <c r="G16" s="673"/>
      <c r="H16" s="673"/>
      <c r="I16" s="673"/>
      <c r="J16" s="673"/>
    </row>
    <row r="17" spans="1:10" s="525" customFormat="1" ht="19.5" customHeight="1">
      <c r="A17" s="706"/>
      <c r="B17" s="707"/>
      <c r="C17" s="652"/>
      <c r="D17" s="674"/>
      <c r="E17" s="670"/>
      <c r="F17" s="670"/>
      <c r="G17" s="671"/>
      <c r="H17" s="671"/>
      <c r="I17" s="671"/>
      <c r="J17" s="673"/>
    </row>
    <row r="18" spans="1:10" s="525" customFormat="1" ht="19.5" customHeight="1">
      <c r="A18" s="706"/>
      <c r="B18" s="707"/>
      <c r="C18" s="652"/>
      <c r="D18" s="674"/>
      <c r="E18" s="670"/>
      <c r="F18" s="670"/>
      <c r="G18" s="671"/>
      <c r="H18" s="671"/>
      <c r="I18" s="671"/>
      <c r="J18" s="673"/>
    </row>
    <row r="19" spans="1:10" s="525" customFormat="1" ht="19.5" customHeight="1" thickBot="1">
      <c r="A19" s="712"/>
      <c r="B19" s="713"/>
      <c r="C19" s="654"/>
      <c r="D19" s="675"/>
      <c r="E19" s="670"/>
      <c r="F19" s="670"/>
      <c r="G19" s="671"/>
      <c r="H19" s="671"/>
      <c r="I19" s="671"/>
      <c r="J19" s="673"/>
    </row>
    <row r="20" ht="15">
      <c r="A20" s="416"/>
    </row>
    <row r="21" ht="15">
      <c r="A21" s="416"/>
    </row>
    <row r="22" ht="15">
      <c r="A22" s="416"/>
    </row>
    <row r="23" ht="15">
      <c r="A23" s="416"/>
    </row>
    <row r="25" ht="15">
      <c r="A25" s="416"/>
    </row>
    <row r="26" ht="15">
      <c r="A26" s="416"/>
    </row>
    <row r="27" ht="15">
      <c r="A27" s="416"/>
    </row>
    <row r="28" ht="15">
      <c r="A28" s="416"/>
    </row>
    <row r="29" ht="15">
      <c r="A29" s="416"/>
    </row>
    <row r="30" ht="15">
      <c r="A30" s="416"/>
    </row>
    <row r="31" ht="15">
      <c r="A31" s="416"/>
    </row>
    <row r="32" ht="15">
      <c r="A32" s="416"/>
    </row>
    <row r="33" ht="15">
      <c r="A33" s="416"/>
    </row>
    <row r="34" ht="15">
      <c r="A34" s="416"/>
    </row>
    <row r="35" ht="15">
      <c r="A35" s="416"/>
    </row>
    <row r="36" ht="15">
      <c r="A36" s="416"/>
    </row>
    <row r="37" ht="15">
      <c r="A37" s="416"/>
    </row>
    <row r="38" ht="15">
      <c r="A38" s="416"/>
    </row>
    <row r="39" ht="15">
      <c r="A39" s="416"/>
    </row>
    <row r="40" ht="15">
      <c r="A40" s="416"/>
    </row>
    <row r="43" ht="12.75">
      <c r="A43" s="522"/>
    </row>
  </sheetData>
  <mergeCells count="1">
    <mergeCell ref="A5:D5"/>
  </mergeCells>
  <printOptions/>
  <pageMargins left="0.8" right="0.75" top="0.58" bottom="0.59" header="0.4" footer="0.4"/>
  <pageSetup horizontalDpi="600" verticalDpi="600" orientation="portrait" paperSize="9" r:id="rId1"/>
  <headerFooter alignWithMargins="0">
    <oddFooter>&amp;C&amp;P/&amp;N&amp;R&amp;A</oddFooter>
  </headerFooter>
</worksheet>
</file>

<file path=xl/worksheets/sheet22.xml><?xml version="1.0" encoding="utf-8"?>
<worksheet xmlns="http://schemas.openxmlformats.org/spreadsheetml/2006/main" xmlns:r="http://schemas.openxmlformats.org/officeDocument/2006/relationships">
  <sheetPr codeName="Munka26">
    <tabColor indexed="11"/>
  </sheetPr>
  <dimension ref="A1:I33"/>
  <sheetViews>
    <sheetView workbookViewId="0" topLeftCell="A4">
      <selection activeCell="G8" sqref="G8"/>
    </sheetView>
  </sheetViews>
  <sheetFormatPr defaultColWidth="9.00390625" defaultRowHeight="12.75"/>
  <cols>
    <col min="1" max="1" width="28.375" style="388" customWidth="1"/>
    <col min="2" max="3" width="10.75390625" style="388" customWidth="1"/>
    <col min="4" max="4" width="9.75390625" style="388" customWidth="1"/>
    <col min="5" max="6" width="10.00390625" style="388" customWidth="1"/>
    <col min="7" max="7" width="12.25390625" style="388" customWidth="1"/>
    <col min="8" max="8" width="9.125" style="388" customWidth="1"/>
    <col min="9" max="9" width="0" style="388" hidden="1" customWidth="1"/>
    <col min="10" max="16384" width="9.125" style="388" customWidth="1"/>
  </cols>
  <sheetData>
    <row r="1" spans="1:7" s="372" customFormat="1" ht="15">
      <c r="A1" s="387" t="str">
        <f>'III.D.3'!A1</f>
        <v>Komáromi Távhő Kft</v>
      </c>
      <c r="B1" s="470"/>
      <c r="C1" s="470"/>
      <c r="D1" s="470"/>
      <c r="E1" s="471"/>
      <c r="G1" s="389" t="str">
        <f>'III.D.3'!G1</f>
        <v>Kiegészítő melléklet 2016. december 31.Hőszolgáltatás </v>
      </c>
    </row>
    <row r="2" spans="1:7" s="372" customFormat="1" ht="15">
      <c r="A2" s="387"/>
      <c r="B2" s="470"/>
      <c r="C2" s="470"/>
      <c r="D2" s="470"/>
      <c r="E2" s="471"/>
      <c r="G2" s="389" t="str">
        <f>'II.B.4'!D2</f>
        <v>II. Tájékoztató kiegészítések</v>
      </c>
    </row>
    <row r="3" spans="1:7" s="372" customFormat="1" ht="15">
      <c r="A3" s="387"/>
      <c r="B3" s="470"/>
      <c r="C3" s="470"/>
      <c r="D3" s="470"/>
      <c r="E3" s="471"/>
      <c r="G3" s="389"/>
    </row>
    <row r="4" spans="1:7" s="372" customFormat="1" ht="14.25" customHeight="1">
      <c r="A4" s="411" t="str">
        <f>'III.D.3'!A4</f>
        <v>A közzétett adatokat könyvvizsgáló ellenőrizte</v>
      </c>
      <c r="B4" s="411"/>
      <c r="C4" s="411"/>
      <c r="D4" s="411"/>
      <c r="E4" s="411"/>
      <c r="F4" s="411"/>
      <c r="G4" s="411"/>
    </row>
    <row r="6" spans="1:7" ht="18">
      <c r="A6" s="532" t="s">
        <v>1693</v>
      </c>
      <c r="B6" s="571"/>
      <c r="C6" s="571"/>
      <c r="D6" s="571"/>
      <c r="E6" s="571"/>
      <c r="F6" s="571"/>
      <c r="G6" s="571"/>
    </row>
    <row r="8" spans="1:7" s="398" customFormat="1" ht="13.5" thickBot="1">
      <c r="A8" s="398" t="s">
        <v>1824</v>
      </c>
      <c r="G8" s="1604" t="str">
        <f>'III.C'!D7</f>
        <v>Adatok E Ft-ban</v>
      </c>
    </row>
    <row r="9" spans="1:7" s="398" customFormat="1" ht="31.5" customHeight="1">
      <c r="A9" s="2238" t="s">
        <v>494</v>
      </c>
      <c r="B9" s="2233" t="s">
        <v>1205</v>
      </c>
      <c r="C9" s="2233" t="s">
        <v>1206</v>
      </c>
      <c r="D9" s="2237" t="s">
        <v>438</v>
      </c>
      <c r="E9" s="2237"/>
      <c r="F9" s="2233" t="s">
        <v>1825</v>
      </c>
      <c r="G9" s="2235" t="s">
        <v>1826</v>
      </c>
    </row>
    <row r="10" spans="1:7" s="398" customFormat="1" ht="25.5">
      <c r="A10" s="2239"/>
      <c r="B10" s="2234"/>
      <c r="C10" s="2234"/>
      <c r="D10" s="588" t="s">
        <v>1827</v>
      </c>
      <c r="E10" s="588" t="s">
        <v>1605</v>
      </c>
      <c r="F10" s="2234"/>
      <c r="G10" s="2236"/>
    </row>
    <row r="11" spans="1:7" s="398" customFormat="1" ht="19.5" customHeight="1">
      <c r="A11" s="589" t="s">
        <v>1828</v>
      </c>
      <c r="B11" s="590"/>
      <c r="C11" s="590"/>
      <c r="D11" s="590"/>
      <c r="E11" s="590"/>
      <c r="F11" s="590"/>
      <c r="G11" s="591"/>
    </row>
    <row r="12" spans="1:7" s="398" customFormat="1" ht="19.5" customHeight="1">
      <c r="A12" s="589" t="s">
        <v>1829</v>
      </c>
      <c r="B12" s="590"/>
      <c r="C12" s="590"/>
      <c r="D12" s="590"/>
      <c r="E12" s="590"/>
      <c r="F12" s="590"/>
      <c r="G12" s="591"/>
    </row>
    <row r="13" spans="1:7" s="398" customFormat="1" ht="19.5" customHeight="1">
      <c r="A13" s="589" t="s">
        <v>1830</v>
      </c>
      <c r="B13" s="590"/>
      <c r="C13" s="590"/>
      <c r="D13" s="590"/>
      <c r="E13" s="590"/>
      <c r="F13" s="590"/>
      <c r="G13" s="591"/>
    </row>
    <row r="14" spans="1:7" s="398" customFormat="1" ht="19.5" customHeight="1">
      <c r="A14" s="589" t="s">
        <v>1831</v>
      </c>
      <c r="B14" s="590"/>
      <c r="C14" s="590"/>
      <c r="D14" s="590"/>
      <c r="E14" s="590"/>
      <c r="F14" s="590"/>
      <c r="G14" s="591"/>
    </row>
    <row r="15" spans="1:7" s="398" customFormat="1" ht="19.5" customHeight="1">
      <c r="A15" s="589" t="s">
        <v>1832</v>
      </c>
      <c r="B15" s="590"/>
      <c r="C15" s="590"/>
      <c r="D15" s="590"/>
      <c r="E15" s="590"/>
      <c r="F15" s="590"/>
      <c r="G15" s="591"/>
    </row>
    <row r="16" spans="1:7" s="398" customFormat="1" ht="19.5" customHeight="1">
      <c r="A16" s="589" t="s">
        <v>1833</v>
      </c>
      <c r="B16" s="590"/>
      <c r="C16" s="590"/>
      <c r="D16" s="590"/>
      <c r="E16" s="590"/>
      <c r="F16" s="590"/>
      <c r="G16" s="591"/>
    </row>
    <row r="17" spans="1:7" s="398" customFormat="1" ht="19.5" customHeight="1">
      <c r="A17" s="589" t="s">
        <v>1834</v>
      </c>
      <c r="B17" s="590"/>
      <c r="C17" s="590"/>
      <c r="D17" s="590"/>
      <c r="E17" s="590"/>
      <c r="F17" s="590"/>
      <c r="G17" s="591"/>
    </row>
    <row r="18" spans="1:7" s="398" customFormat="1" ht="19.5" customHeight="1">
      <c r="A18" s="589" t="s">
        <v>1835</v>
      </c>
      <c r="B18" s="590"/>
      <c r="C18" s="590"/>
      <c r="D18" s="590"/>
      <c r="E18" s="590"/>
      <c r="F18" s="590"/>
      <c r="G18" s="591"/>
    </row>
    <row r="19" spans="1:7" s="398" customFormat="1" ht="19.5" customHeight="1">
      <c r="A19" s="589" t="s">
        <v>1836</v>
      </c>
      <c r="B19" s="590"/>
      <c r="C19" s="590"/>
      <c r="D19" s="590"/>
      <c r="E19" s="590"/>
      <c r="F19" s="590"/>
      <c r="G19" s="591"/>
    </row>
    <row r="20" spans="1:7" s="398" customFormat="1" ht="19.5" customHeight="1">
      <c r="A20" s="589" t="s">
        <v>1837</v>
      </c>
      <c r="B20" s="590"/>
      <c r="C20" s="590"/>
      <c r="D20" s="590"/>
      <c r="E20" s="590"/>
      <c r="F20" s="590"/>
      <c r="G20" s="591"/>
    </row>
    <row r="21" spans="1:7" s="398" customFormat="1" ht="19.5" customHeight="1">
      <c r="A21" s="589" t="s">
        <v>1838</v>
      </c>
      <c r="B21" s="590"/>
      <c r="C21" s="590"/>
      <c r="D21" s="590"/>
      <c r="E21" s="590"/>
      <c r="F21" s="590"/>
      <c r="G21" s="591"/>
    </row>
    <row r="22" spans="1:7" s="398" customFormat="1" ht="27" customHeight="1">
      <c r="A22" s="589" t="s">
        <v>1839</v>
      </c>
      <c r="B22" s="590"/>
      <c r="C22" s="590"/>
      <c r="D22" s="590"/>
      <c r="E22" s="590"/>
      <c r="F22" s="590"/>
      <c r="G22" s="591"/>
    </row>
    <row r="23" spans="1:7" s="398" customFormat="1" ht="19.5" customHeight="1" thickBot="1">
      <c r="A23" s="592" t="s">
        <v>1840</v>
      </c>
      <c r="B23" s="593"/>
      <c r="C23" s="593"/>
      <c r="D23" s="593"/>
      <c r="E23" s="593"/>
      <c r="F23" s="593"/>
      <c r="G23" s="594"/>
    </row>
    <row r="24" spans="1:9" s="398" customFormat="1" ht="27" customHeight="1" thickBot="1">
      <c r="A24" s="595" t="s">
        <v>1447</v>
      </c>
      <c r="B24" s="596">
        <f aca="true" t="shared" si="0" ref="B24:G24">SUM(B11:B23)</f>
        <v>0</v>
      </c>
      <c r="C24" s="596">
        <f t="shared" si="0"/>
        <v>0</v>
      </c>
      <c r="D24" s="596">
        <f t="shared" si="0"/>
        <v>0</v>
      </c>
      <c r="E24" s="596">
        <f t="shared" si="0"/>
        <v>0</v>
      </c>
      <c r="F24" s="596">
        <f t="shared" si="0"/>
        <v>0</v>
      </c>
      <c r="G24" s="597">
        <f t="shared" si="0"/>
        <v>0</v>
      </c>
      <c r="I24" s="1606" t="str">
        <f>IF(C24='L.E'!J11,"OK","Nem egyezik a mérleggel")</f>
        <v>OK</v>
      </c>
    </row>
    <row r="25" spans="1:7" s="398" customFormat="1" ht="19.5" customHeight="1">
      <c r="A25" s="598" t="s">
        <v>1841</v>
      </c>
      <c r="B25" s="599"/>
      <c r="C25" s="599"/>
      <c r="D25" s="599"/>
      <c r="E25" s="599"/>
      <c r="F25" s="599"/>
      <c r="G25" s="600"/>
    </row>
    <row r="26" spans="1:7" s="398" customFormat="1" ht="19.5" customHeight="1">
      <c r="A26" s="589" t="s">
        <v>1842</v>
      </c>
      <c r="B26" s="590"/>
      <c r="C26" s="590"/>
      <c r="D26" s="590"/>
      <c r="E26" s="590"/>
      <c r="F26" s="590"/>
      <c r="G26" s="591"/>
    </row>
    <row r="27" spans="1:7" s="398" customFormat="1" ht="19.5" customHeight="1" thickBot="1">
      <c r="A27" s="592" t="s">
        <v>1843</v>
      </c>
      <c r="B27" s="593"/>
      <c r="C27" s="593"/>
      <c r="D27" s="593"/>
      <c r="E27" s="593"/>
      <c r="F27" s="593"/>
      <c r="G27" s="594"/>
    </row>
    <row r="28" spans="1:9" s="398" customFormat="1" ht="25.5" customHeight="1" thickBot="1">
      <c r="A28" s="595" t="s">
        <v>323</v>
      </c>
      <c r="B28" s="596">
        <f aca="true" t="shared" si="1" ref="B28:G28">SUM(B25:B27)</f>
        <v>0</v>
      </c>
      <c r="C28" s="596">
        <f t="shared" si="1"/>
        <v>0</v>
      </c>
      <c r="D28" s="596">
        <f t="shared" si="1"/>
        <v>0</v>
      </c>
      <c r="E28" s="596">
        <f t="shared" si="1"/>
        <v>0</v>
      </c>
      <c r="F28" s="596">
        <f t="shared" si="1"/>
        <v>0</v>
      </c>
      <c r="G28" s="597">
        <f t="shared" si="1"/>
        <v>0</v>
      </c>
      <c r="I28" s="1606" t="str">
        <f>IF(C28='L.E'!J16,"OK","Nem egyezik a mérleggel")</f>
        <v>OK</v>
      </c>
    </row>
    <row r="29" spans="1:7" s="398" customFormat="1" ht="19.5" customHeight="1">
      <c r="A29" s="598" t="s">
        <v>348</v>
      </c>
      <c r="B29" s="599"/>
      <c r="C29" s="599"/>
      <c r="D29" s="599"/>
      <c r="E29" s="599"/>
      <c r="F29" s="599"/>
      <c r="G29" s="600"/>
    </row>
    <row r="30" spans="1:7" s="398" customFormat="1" ht="27.75" customHeight="1">
      <c r="A30" s="589" t="s">
        <v>1844</v>
      </c>
      <c r="B30" s="590"/>
      <c r="C30" s="590"/>
      <c r="D30" s="590"/>
      <c r="E30" s="590"/>
      <c r="F30" s="590"/>
      <c r="G30" s="591"/>
    </row>
    <row r="31" spans="1:7" s="398" customFormat="1" ht="19.5" customHeight="1" thickBot="1">
      <c r="A31" s="592" t="s">
        <v>1845</v>
      </c>
      <c r="B31" s="593"/>
      <c r="C31" s="593"/>
      <c r="D31" s="593"/>
      <c r="E31" s="593"/>
      <c r="F31" s="593"/>
      <c r="G31" s="594"/>
    </row>
    <row r="32" spans="1:9" s="398" customFormat="1" ht="27" thickBot="1">
      <c r="A32" s="595" t="s">
        <v>1448</v>
      </c>
      <c r="B32" s="596">
        <f aca="true" t="shared" si="2" ref="B32:G32">SUM(B29:B31)</f>
        <v>0</v>
      </c>
      <c r="C32" s="596">
        <f t="shared" si="2"/>
        <v>0</v>
      </c>
      <c r="D32" s="596">
        <f t="shared" si="2"/>
        <v>0</v>
      </c>
      <c r="E32" s="596">
        <f t="shared" si="2"/>
        <v>0</v>
      </c>
      <c r="F32" s="596">
        <f t="shared" si="2"/>
        <v>0</v>
      </c>
      <c r="G32" s="597">
        <f t="shared" si="2"/>
        <v>0</v>
      </c>
      <c r="I32" s="1606" t="str">
        <f>IF(C32='L.E'!J21,"OK","Nem egyezik a mérleggel")</f>
        <v>OK</v>
      </c>
    </row>
    <row r="33" spans="2:7" ht="19.5" customHeight="1">
      <c r="B33" s="601"/>
      <c r="C33" s="601"/>
      <c r="D33" s="601"/>
      <c r="E33" s="601"/>
      <c r="F33" s="601"/>
      <c r="G33" s="601"/>
    </row>
  </sheetData>
  <sheetProtection/>
  <mergeCells count="6">
    <mergeCell ref="F9:F10"/>
    <mergeCell ref="G9:G10"/>
    <mergeCell ref="D9:E9"/>
    <mergeCell ref="A9:A10"/>
    <mergeCell ref="B9:B10"/>
    <mergeCell ref="C9:C10"/>
  </mergeCells>
  <printOptions/>
  <pageMargins left="0.75" right="0.75" top="0.6" bottom="0.78" header="0.39" footer="0.39"/>
  <pageSetup horizontalDpi="600" verticalDpi="600" orientation="portrait" paperSize="9" scale="94" r:id="rId1"/>
  <headerFooter alignWithMargins="0">
    <oddFooter>&amp;C&amp;P/&amp;N&amp;R&amp;A</oddFooter>
  </headerFooter>
</worksheet>
</file>

<file path=xl/worksheets/sheet23.xml><?xml version="1.0" encoding="utf-8"?>
<worksheet xmlns="http://schemas.openxmlformats.org/spreadsheetml/2006/main" xmlns:r="http://schemas.openxmlformats.org/officeDocument/2006/relationships">
  <sheetPr codeName="Munka35">
    <tabColor indexed="11"/>
  </sheetPr>
  <dimension ref="A1:K55"/>
  <sheetViews>
    <sheetView workbookViewId="0" topLeftCell="A37">
      <selection activeCell="M44" sqref="M44"/>
    </sheetView>
  </sheetViews>
  <sheetFormatPr defaultColWidth="9.00390625" defaultRowHeight="12.75"/>
  <cols>
    <col min="1" max="3" width="10.75390625" style="388" customWidth="1"/>
    <col min="4" max="4" width="7.875" style="388" customWidth="1"/>
    <col min="5" max="6" width="8.375" style="388" customWidth="1"/>
    <col min="7" max="7" width="19.00390625" style="388" customWidth="1"/>
    <col min="8" max="8" width="3.875" style="388" customWidth="1"/>
    <col min="9" max="9" width="10.75390625" style="388" customWidth="1"/>
    <col min="10" max="16384" width="9.125" style="388" customWidth="1"/>
  </cols>
  <sheetData>
    <row r="1" spans="1:9" ht="12.75">
      <c r="A1" s="626" t="str">
        <f>KiegMell!L12</f>
        <v>Komáromi Távhő Kft</v>
      </c>
      <c r="I1" s="389" t="str">
        <f>'I.A.1'!R1</f>
        <v>Kiegészítő melléklet 2016. december 31.Hőszolgáltatás </v>
      </c>
    </row>
    <row r="2" spans="1:9" ht="12.75">
      <c r="A2" s="387"/>
      <c r="I2" s="389" t="str">
        <f>'II.A'!H2</f>
        <v>II. Tájékoztató kiegészítések</v>
      </c>
    </row>
    <row r="3" spans="1:9" ht="12.75">
      <c r="A3" s="411" t="str">
        <f>KiegMell!A31</f>
        <v>A közzétett adatokat könyvvizsgáló ellenőrizte</v>
      </c>
      <c r="B3" s="393"/>
      <c r="C3" s="393"/>
      <c r="D3" s="393"/>
      <c r="E3" s="393"/>
      <c r="F3" s="393"/>
      <c r="G3" s="393"/>
      <c r="H3" s="393"/>
      <c r="I3" s="396"/>
    </row>
    <row r="5" spans="1:11" s="632" customFormat="1" ht="16.5">
      <c r="A5" s="948" t="s">
        <v>847</v>
      </c>
      <c r="B5" s="945"/>
      <c r="C5" s="945"/>
      <c r="D5" s="945"/>
      <c r="E5" s="945"/>
      <c r="F5" s="945"/>
      <c r="G5" s="945"/>
      <c r="H5" s="945"/>
      <c r="I5" s="946"/>
      <c r="J5" s="631"/>
      <c r="K5" s="631"/>
    </row>
    <row r="6" spans="1:11" s="632" customFormat="1" ht="15.75" thickBot="1">
      <c r="A6" s="629"/>
      <c r="B6" s="630"/>
      <c r="C6" s="630"/>
      <c r="D6" s="630"/>
      <c r="E6" s="630"/>
      <c r="F6" s="630"/>
      <c r="G6" s="630"/>
      <c r="H6" s="630"/>
      <c r="I6" s="634" t="str">
        <f>'II.B.5'!G8</f>
        <v>Adatok E Ft-ban</v>
      </c>
      <c r="J6" s="631"/>
      <c r="K6" s="631"/>
    </row>
    <row r="7" spans="1:9" s="633" customFormat="1" ht="24.75" customHeight="1">
      <c r="A7" s="2251" t="s">
        <v>1554</v>
      </c>
      <c r="B7" s="2252"/>
      <c r="C7" s="2252"/>
      <c r="D7" s="2252"/>
      <c r="E7" s="2252"/>
      <c r="F7" s="2252"/>
      <c r="G7" s="2252"/>
      <c r="H7" s="636"/>
      <c r="I7" s="637" t="str">
        <f>Általános!B15</f>
        <v>2016. december 31.Hőszolgáltatás </v>
      </c>
    </row>
    <row r="8" spans="1:9" s="633" customFormat="1" ht="24.75" customHeight="1">
      <c r="A8" s="2240" t="s">
        <v>1555</v>
      </c>
      <c r="B8" s="2241"/>
      <c r="C8" s="2241"/>
      <c r="D8" s="2241"/>
      <c r="E8" s="2241"/>
      <c r="F8" s="2241"/>
      <c r="G8" s="2241"/>
      <c r="H8" s="642"/>
      <c r="I8" s="640">
        <f>EredmÖsszktsg"A"!E76</f>
        <v>0</v>
      </c>
    </row>
    <row r="9" spans="1:9" s="633" customFormat="1" ht="24.75" customHeight="1">
      <c r="A9" s="2242" t="s">
        <v>1556</v>
      </c>
      <c r="B9" s="2243"/>
      <c r="C9" s="2243"/>
      <c r="D9" s="2243"/>
      <c r="E9" s="2243"/>
      <c r="F9" s="2243"/>
      <c r="G9" s="2243"/>
      <c r="H9" s="642"/>
      <c r="I9" s="641"/>
    </row>
    <row r="10" spans="1:9" ht="24.75" customHeight="1">
      <c r="A10" s="2240" t="s">
        <v>1557</v>
      </c>
      <c r="B10" s="2241"/>
      <c r="C10" s="2241"/>
      <c r="D10" s="2241"/>
      <c r="E10" s="2241"/>
      <c r="F10" s="2241"/>
      <c r="G10" s="2241"/>
      <c r="H10" s="642" t="s">
        <v>1558</v>
      </c>
      <c r="I10" s="577"/>
    </row>
    <row r="11" spans="1:9" ht="24.75" customHeight="1">
      <c r="A11" s="2240" t="s">
        <v>1559</v>
      </c>
      <c r="B11" s="2241"/>
      <c r="C11" s="2241"/>
      <c r="D11" s="2241"/>
      <c r="E11" s="2241"/>
      <c r="F11" s="2241"/>
      <c r="G11" s="2241"/>
      <c r="H11" s="642"/>
      <c r="I11" s="638"/>
    </row>
    <row r="12" spans="1:9" ht="24.75" customHeight="1">
      <c r="A12" s="2247" t="s">
        <v>1560</v>
      </c>
      <c r="B12" s="2248"/>
      <c r="C12" s="2248"/>
      <c r="D12" s="2248"/>
      <c r="E12" s="2248"/>
      <c r="F12" s="2248"/>
      <c r="G12" s="2248"/>
      <c r="H12" s="642" t="s">
        <v>1561</v>
      </c>
      <c r="I12" s="577"/>
    </row>
    <row r="13" spans="1:9" ht="24.75" customHeight="1">
      <c r="A13" s="2247" t="s">
        <v>814</v>
      </c>
      <c r="B13" s="2248"/>
      <c r="C13" s="2248"/>
      <c r="D13" s="2248"/>
      <c r="E13" s="2248"/>
      <c r="F13" s="2248"/>
      <c r="G13" s="2248"/>
      <c r="H13" s="642" t="s">
        <v>1558</v>
      </c>
      <c r="I13" s="577"/>
    </row>
    <row r="14" spans="1:9" ht="24.75" customHeight="1">
      <c r="A14" s="2247" t="s">
        <v>1711</v>
      </c>
      <c r="B14" s="2248"/>
      <c r="C14" s="2248"/>
      <c r="D14" s="2248"/>
      <c r="E14" s="2248"/>
      <c r="F14" s="2248"/>
      <c r="G14" s="2248"/>
      <c r="H14" s="642" t="s">
        <v>1561</v>
      </c>
      <c r="I14" s="577"/>
    </row>
    <row r="15" spans="1:9" ht="24.75" customHeight="1">
      <c r="A15" s="2247" t="s">
        <v>1712</v>
      </c>
      <c r="B15" s="2248"/>
      <c r="C15" s="2248"/>
      <c r="D15" s="2248"/>
      <c r="E15" s="2248"/>
      <c r="F15" s="2248"/>
      <c r="G15" s="2248"/>
      <c r="H15" s="642" t="s">
        <v>1558</v>
      </c>
      <c r="I15" s="577"/>
    </row>
    <row r="16" spans="1:9" ht="24.75" customHeight="1">
      <c r="A16" s="2242" t="s">
        <v>821</v>
      </c>
      <c r="B16" s="2243"/>
      <c r="C16" s="2243"/>
      <c r="D16" s="2243"/>
      <c r="E16" s="2243"/>
      <c r="F16" s="2243"/>
      <c r="G16" s="2243"/>
      <c r="H16" s="642"/>
      <c r="I16" s="638"/>
    </row>
    <row r="17" spans="1:9" ht="24.75" customHeight="1">
      <c r="A17" s="2240" t="s">
        <v>822</v>
      </c>
      <c r="B17" s="2241"/>
      <c r="C17" s="2241"/>
      <c r="D17" s="2241"/>
      <c r="E17" s="2241"/>
      <c r="F17" s="2241"/>
      <c r="G17" s="2241"/>
      <c r="H17" s="642" t="s">
        <v>1561</v>
      </c>
      <c r="I17" s="577"/>
    </row>
    <row r="18" spans="1:9" ht="24.75" customHeight="1">
      <c r="A18" s="2240" t="s">
        <v>823</v>
      </c>
      <c r="B18" s="2241"/>
      <c r="C18" s="2241"/>
      <c r="D18" s="2241"/>
      <c r="E18" s="2241"/>
      <c r="F18" s="2241"/>
      <c r="G18" s="2241"/>
      <c r="H18" s="642" t="s">
        <v>1561</v>
      </c>
      <c r="I18" s="577"/>
    </row>
    <row r="19" spans="1:9" ht="24.75" customHeight="1">
      <c r="A19" s="2240" t="s">
        <v>824</v>
      </c>
      <c r="B19" s="2241"/>
      <c r="C19" s="2241"/>
      <c r="D19" s="2241"/>
      <c r="E19" s="2241"/>
      <c r="F19" s="2241"/>
      <c r="G19" s="2241"/>
      <c r="H19" s="642" t="s">
        <v>1561</v>
      </c>
      <c r="I19" s="577"/>
    </row>
    <row r="20" spans="1:9" ht="24.75" customHeight="1">
      <c r="A20" s="2242" t="s">
        <v>1658</v>
      </c>
      <c r="B20" s="2243"/>
      <c r="C20" s="2243"/>
      <c r="D20" s="2243"/>
      <c r="E20" s="2243"/>
      <c r="F20" s="2243"/>
      <c r="G20" s="2243"/>
      <c r="H20" s="642"/>
      <c r="I20" s="638"/>
    </row>
    <row r="21" spans="1:9" ht="24.75" customHeight="1">
      <c r="A21" s="2240" t="s">
        <v>1659</v>
      </c>
      <c r="B21" s="2241"/>
      <c r="C21" s="2241"/>
      <c r="D21" s="2241"/>
      <c r="E21" s="2241"/>
      <c r="F21" s="2241"/>
      <c r="G21" s="2241"/>
      <c r="H21" s="642" t="s">
        <v>1558</v>
      </c>
      <c r="I21" s="577"/>
    </row>
    <row r="22" spans="1:9" ht="24.75" customHeight="1">
      <c r="A22" s="2240" t="s">
        <v>1660</v>
      </c>
      <c r="B22" s="2241"/>
      <c r="C22" s="2241"/>
      <c r="D22" s="2241"/>
      <c r="E22" s="2241"/>
      <c r="F22" s="2241"/>
      <c r="G22" s="2241"/>
      <c r="H22" s="642" t="s">
        <v>1558</v>
      </c>
      <c r="I22" s="577"/>
    </row>
    <row r="23" spans="1:9" ht="24.75" customHeight="1">
      <c r="A23" s="2240" t="s">
        <v>1661</v>
      </c>
      <c r="B23" s="2241"/>
      <c r="C23" s="2241"/>
      <c r="D23" s="2241"/>
      <c r="E23" s="2241"/>
      <c r="F23" s="2241"/>
      <c r="G23" s="2241"/>
      <c r="H23" s="642" t="s">
        <v>1558</v>
      </c>
      <c r="I23" s="577"/>
    </row>
    <row r="24" spans="1:9" ht="24.75" customHeight="1">
      <c r="A24" s="2240" t="s">
        <v>1662</v>
      </c>
      <c r="B24" s="2241"/>
      <c r="C24" s="2241"/>
      <c r="D24" s="2241"/>
      <c r="E24" s="2241"/>
      <c r="F24" s="2241"/>
      <c r="G24" s="2241"/>
      <c r="H24" s="642" t="s">
        <v>1558</v>
      </c>
      <c r="I24" s="577"/>
    </row>
    <row r="25" spans="1:9" ht="24.75" customHeight="1">
      <c r="A25" s="2240" t="s">
        <v>1746</v>
      </c>
      <c r="B25" s="2241"/>
      <c r="C25" s="2241"/>
      <c r="D25" s="2241"/>
      <c r="E25" s="2241"/>
      <c r="F25" s="2241"/>
      <c r="G25" s="2241"/>
      <c r="H25" s="642" t="s">
        <v>1561</v>
      </c>
      <c r="I25" s="577"/>
    </row>
    <row r="26" spans="1:9" ht="24.75" customHeight="1">
      <c r="A26" s="2240" t="s">
        <v>825</v>
      </c>
      <c r="B26" s="2241"/>
      <c r="C26" s="2241"/>
      <c r="D26" s="2241"/>
      <c r="E26" s="2241"/>
      <c r="F26" s="2241"/>
      <c r="G26" s="2241"/>
      <c r="H26" s="642" t="s">
        <v>1558</v>
      </c>
      <c r="I26" s="577"/>
    </row>
    <row r="27" spans="1:9" ht="24.75" customHeight="1">
      <c r="A27" s="2240" t="s">
        <v>826</v>
      </c>
      <c r="B27" s="2241"/>
      <c r="C27" s="2241"/>
      <c r="D27" s="2241"/>
      <c r="E27" s="2241"/>
      <c r="F27" s="2241"/>
      <c r="G27" s="2241"/>
      <c r="H27" s="642" t="s">
        <v>1561</v>
      </c>
      <c r="I27" s="577"/>
    </row>
    <row r="28" spans="1:9" ht="24.75" customHeight="1">
      <c r="A28" s="2240" t="s">
        <v>856</v>
      </c>
      <c r="B28" s="2241"/>
      <c r="C28" s="2241"/>
      <c r="D28" s="2241"/>
      <c r="E28" s="2241"/>
      <c r="F28" s="2241"/>
      <c r="G28" s="2241"/>
      <c r="H28" s="642" t="s">
        <v>1558</v>
      </c>
      <c r="I28" s="577"/>
    </row>
    <row r="29" spans="1:9" ht="24.75" customHeight="1">
      <c r="A29" s="2244" t="s">
        <v>1058</v>
      </c>
      <c r="B29" s="2245"/>
      <c r="C29" s="2245"/>
      <c r="D29" s="2245"/>
      <c r="E29" s="2245"/>
      <c r="F29" s="2245"/>
      <c r="G29" s="2246"/>
      <c r="H29" s="642" t="s">
        <v>1561</v>
      </c>
      <c r="I29" s="577"/>
    </row>
    <row r="30" spans="1:9" ht="24.75" customHeight="1">
      <c r="A30" s="2240" t="s">
        <v>1059</v>
      </c>
      <c r="B30" s="2241"/>
      <c r="C30" s="2241"/>
      <c r="D30" s="2241"/>
      <c r="E30" s="2241"/>
      <c r="F30" s="2241"/>
      <c r="G30" s="2241"/>
      <c r="H30" s="642" t="s">
        <v>1558</v>
      </c>
      <c r="I30" s="577"/>
    </row>
    <row r="31" spans="1:9" ht="24.75" customHeight="1">
      <c r="A31" s="2240" t="s">
        <v>1060</v>
      </c>
      <c r="B31" s="2241"/>
      <c r="C31" s="2241"/>
      <c r="D31" s="2241"/>
      <c r="E31" s="2241"/>
      <c r="F31" s="2241"/>
      <c r="G31" s="2241"/>
      <c r="H31" s="642" t="s">
        <v>1558</v>
      </c>
      <c r="I31" s="577"/>
    </row>
    <row r="32" spans="1:9" ht="24.75" customHeight="1">
      <c r="A32" s="2240" t="s">
        <v>1061</v>
      </c>
      <c r="B32" s="2241"/>
      <c r="C32" s="2241"/>
      <c r="D32" s="2241"/>
      <c r="E32" s="2241"/>
      <c r="F32" s="2241"/>
      <c r="G32" s="2241"/>
      <c r="H32" s="642" t="s">
        <v>1561</v>
      </c>
      <c r="I32" s="577"/>
    </row>
    <row r="33" spans="1:9" ht="24.75" customHeight="1">
      <c r="A33" s="2240" t="s">
        <v>1062</v>
      </c>
      <c r="B33" s="2241"/>
      <c r="C33" s="2241"/>
      <c r="D33" s="2241"/>
      <c r="E33" s="2241"/>
      <c r="F33" s="2241"/>
      <c r="G33" s="2241"/>
      <c r="H33" s="642" t="s">
        <v>1558</v>
      </c>
      <c r="I33" s="577"/>
    </row>
    <row r="34" spans="1:9" ht="24.75" customHeight="1">
      <c r="A34" s="2240" t="s">
        <v>1063</v>
      </c>
      <c r="B34" s="2241"/>
      <c r="C34" s="2241"/>
      <c r="D34" s="2241"/>
      <c r="E34" s="2241"/>
      <c r="F34" s="2241"/>
      <c r="G34" s="2241"/>
      <c r="H34" s="642" t="s">
        <v>1558</v>
      </c>
      <c r="I34" s="577"/>
    </row>
    <row r="35" spans="1:9" ht="24.75" customHeight="1">
      <c r="A35" s="2240" t="s">
        <v>1064</v>
      </c>
      <c r="B35" s="2241"/>
      <c r="C35" s="2241"/>
      <c r="D35" s="2241"/>
      <c r="E35" s="2241"/>
      <c r="F35" s="2241"/>
      <c r="G35" s="2241"/>
      <c r="H35" s="642" t="s">
        <v>1561</v>
      </c>
      <c r="I35" s="577"/>
    </row>
    <row r="36" spans="1:9" ht="24.75" customHeight="1">
      <c r="A36" s="2240" t="s">
        <v>1065</v>
      </c>
      <c r="B36" s="2241"/>
      <c r="C36" s="2241"/>
      <c r="D36" s="2241"/>
      <c r="E36" s="2241"/>
      <c r="F36" s="2241"/>
      <c r="G36" s="2241"/>
      <c r="H36" s="642" t="s">
        <v>1558</v>
      </c>
      <c r="I36" s="577"/>
    </row>
    <row r="37" spans="1:9" ht="24.75" customHeight="1">
      <c r="A37" s="2240" t="s">
        <v>1066</v>
      </c>
      <c r="B37" s="2241"/>
      <c r="C37" s="2241"/>
      <c r="D37" s="2241"/>
      <c r="E37" s="2241"/>
      <c r="F37" s="2241"/>
      <c r="G37" s="2241"/>
      <c r="H37" s="642" t="s">
        <v>1561</v>
      </c>
      <c r="I37" s="577"/>
    </row>
    <row r="38" spans="1:9" ht="24.75" customHeight="1">
      <c r="A38" s="2240" t="s">
        <v>1068</v>
      </c>
      <c r="B38" s="2241"/>
      <c r="C38" s="2241"/>
      <c r="D38" s="2241"/>
      <c r="E38" s="2241"/>
      <c r="F38" s="2241"/>
      <c r="G38" s="2241"/>
      <c r="H38" s="642" t="s">
        <v>1558</v>
      </c>
      <c r="I38" s="577"/>
    </row>
    <row r="39" spans="1:9" ht="24.75" customHeight="1">
      <c r="A39" s="2240" t="s">
        <v>1069</v>
      </c>
      <c r="B39" s="2241"/>
      <c r="C39" s="2241"/>
      <c r="D39" s="2241"/>
      <c r="E39" s="2241"/>
      <c r="F39" s="2241"/>
      <c r="G39" s="2241"/>
      <c r="H39" s="642" t="s">
        <v>1558</v>
      </c>
      <c r="I39" s="577"/>
    </row>
    <row r="40" spans="1:9" ht="24.75" customHeight="1">
      <c r="A40" s="2240" t="s">
        <v>1070</v>
      </c>
      <c r="B40" s="2241"/>
      <c r="C40" s="2241"/>
      <c r="D40" s="2241"/>
      <c r="E40" s="2241"/>
      <c r="F40" s="2241"/>
      <c r="G40" s="2241"/>
      <c r="H40" s="642" t="s">
        <v>1558</v>
      </c>
      <c r="I40" s="577"/>
    </row>
    <row r="41" spans="1:9" ht="24.75" customHeight="1">
      <c r="A41" s="2240" t="s">
        <v>82</v>
      </c>
      <c r="B41" s="2241"/>
      <c r="C41" s="2241"/>
      <c r="D41" s="2241"/>
      <c r="E41" s="2241"/>
      <c r="F41" s="2241"/>
      <c r="G41" s="2241"/>
      <c r="H41" s="642" t="s">
        <v>1558</v>
      </c>
      <c r="I41" s="577"/>
    </row>
    <row r="42" spans="1:9" ht="24.75" customHeight="1">
      <c r="A42" s="2240" t="s">
        <v>83</v>
      </c>
      <c r="B42" s="2241"/>
      <c r="C42" s="2241"/>
      <c r="D42" s="2241"/>
      <c r="E42" s="2241"/>
      <c r="F42" s="2241"/>
      <c r="G42" s="2241"/>
      <c r="H42" s="642" t="s">
        <v>84</v>
      </c>
      <c r="I42" s="577"/>
    </row>
    <row r="43" spans="1:9" ht="24.75" customHeight="1">
      <c r="A43" s="2240" t="s">
        <v>905</v>
      </c>
      <c r="B43" s="2241"/>
      <c r="C43" s="2241"/>
      <c r="D43" s="2241"/>
      <c r="E43" s="2241"/>
      <c r="F43" s="2241"/>
      <c r="G43" s="2241"/>
      <c r="H43" s="642" t="s">
        <v>84</v>
      </c>
      <c r="I43" s="577"/>
    </row>
    <row r="44" spans="1:9" ht="24.75" customHeight="1">
      <c r="A44" s="2240" t="s">
        <v>906</v>
      </c>
      <c r="B44" s="2241"/>
      <c r="C44" s="2241"/>
      <c r="D44" s="2241"/>
      <c r="E44" s="2241"/>
      <c r="F44" s="2241"/>
      <c r="G44" s="2241"/>
      <c r="H44" s="642" t="s">
        <v>84</v>
      </c>
      <c r="I44" s="577"/>
    </row>
    <row r="45" spans="1:9" ht="24.75" customHeight="1">
      <c r="A45" s="2240" t="s">
        <v>907</v>
      </c>
      <c r="B45" s="2241"/>
      <c r="C45" s="2241"/>
      <c r="D45" s="2241"/>
      <c r="E45" s="2241"/>
      <c r="F45" s="2241"/>
      <c r="G45" s="2241"/>
      <c r="H45" s="642" t="s">
        <v>1561</v>
      </c>
      <c r="I45" s="577"/>
    </row>
    <row r="46" spans="1:9" ht="24.75" customHeight="1">
      <c r="A46" s="2240" t="s">
        <v>908</v>
      </c>
      <c r="B46" s="2241"/>
      <c r="C46" s="2241"/>
      <c r="D46" s="2241"/>
      <c r="E46" s="2241"/>
      <c r="F46" s="2241"/>
      <c r="G46" s="2241"/>
      <c r="H46" s="642" t="s">
        <v>1561</v>
      </c>
      <c r="I46" s="577"/>
    </row>
    <row r="47" spans="1:9" ht="24.75" customHeight="1">
      <c r="A47" s="2240" t="s">
        <v>909</v>
      </c>
      <c r="B47" s="2241"/>
      <c r="C47" s="2241"/>
      <c r="D47" s="2241"/>
      <c r="E47" s="2241"/>
      <c r="F47" s="2241"/>
      <c r="G47" s="2241"/>
      <c r="H47" s="642" t="s">
        <v>1561</v>
      </c>
      <c r="I47" s="577"/>
    </row>
    <row r="48" spans="1:9" ht="24.75" customHeight="1">
      <c r="A48" s="2240" t="s">
        <v>910</v>
      </c>
      <c r="B48" s="2241"/>
      <c r="C48" s="2241"/>
      <c r="D48" s="2241"/>
      <c r="E48" s="2241"/>
      <c r="F48" s="2241"/>
      <c r="G48" s="2241"/>
      <c r="H48" s="642" t="s">
        <v>1558</v>
      </c>
      <c r="I48" s="577"/>
    </row>
    <row r="49" spans="1:9" ht="24.75" customHeight="1">
      <c r="A49" s="2242" t="s">
        <v>911</v>
      </c>
      <c r="B49" s="2243"/>
      <c r="C49" s="2243"/>
      <c r="D49" s="2243"/>
      <c r="E49" s="2243"/>
      <c r="F49" s="2243"/>
      <c r="G49" s="2243"/>
      <c r="H49" s="643"/>
      <c r="I49" s="638">
        <f>SUM(I12+I14+I17+I18+I19+I25+I29+I27+I32+I35+I37+I45+I46+I47)</f>
        <v>0</v>
      </c>
    </row>
    <row r="50" spans="1:9" ht="24.75" customHeight="1">
      <c r="A50" s="2242" t="s">
        <v>912</v>
      </c>
      <c r="B50" s="2243"/>
      <c r="C50" s="2243"/>
      <c r="D50" s="2243"/>
      <c r="E50" s="2243"/>
      <c r="F50" s="2243"/>
      <c r="G50" s="2243"/>
      <c r="H50" s="643"/>
      <c r="I50" s="638">
        <f>SUM(I10+I13+I15+I21+I22+I23+I24+I26+I28+I30+I31+I33+I34+I36+I38+I39+I40+I41+I42+I43+I44+I48)</f>
        <v>0</v>
      </c>
    </row>
    <row r="51" spans="1:9" ht="24.75" customHeight="1">
      <c r="A51" s="2242" t="s">
        <v>1713</v>
      </c>
      <c r="B51" s="2243"/>
      <c r="C51" s="2243"/>
      <c r="D51" s="2243"/>
      <c r="E51" s="2243"/>
      <c r="F51" s="2243"/>
      <c r="G51" s="2243"/>
      <c r="H51" s="643"/>
      <c r="I51" s="638">
        <f>SUM(I8+I49-I50)</f>
        <v>0</v>
      </c>
    </row>
    <row r="52" spans="1:9" ht="24.75" customHeight="1">
      <c r="A52" s="2242" t="s">
        <v>1714</v>
      </c>
      <c r="B52" s="2243"/>
      <c r="C52" s="2243"/>
      <c r="D52" s="2243"/>
      <c r="E52" s="2243"/>
      <c r="F52" s="2243"/>
      <c r="G52" s="2243"/>
      <c r="H52" s="642"/>
      <c r="I52" s="638">
        <f>IF(I51&lt;0,0,SUM(I51*0.16))</f>
        <v>0</v>
      </c>
    </row>
    <row r="53" spans="1:9" ht="24.75" customHeight="1">
      <c r="A53" s="2240" t="s">
        <v>1715</v>
      </c>
      <c r="B53" s="2241"/>
      <c r="C53" s="2241"/>
      <c r="D53" s="2241"/>
      <c r="E53" s="2241"/>
      <c r="F53" s="2241"/>
      <c r="G53" s="2241"/>
      <c r="H53" s="642" t="s">
        <v>1558</v>
      </c>
      <c r="I53" s="577"/>
    </row>
    <row r="54" spans="1:9" ht="24.75" customHeight="1">
      <c r="A54" s="2242" t="s">
        <v>1716</v>
      </c>
      <c r="B54" s="2243"/>
      <c r="C54" s="2243"/>
      <c r="D54" s="2243"/>
      <c r="E54" s="2243"/>
      <c r="F54" s="2243"/>
      <c r="G54" s="2243"/>
      <c r="H54" s="643"/>
      <c r="I54" s="638">
        <f>IF(I52&lt;0,0,I52-I53)</f>
        <v>0</v>
      </c>
    </row>
    <row r="55" spans="1:9" ht="24.75" customHeight="1" thickBot="1">
      <c r="A55" s="2249" t="s">
        <v>1717</v>
      </c>
      <c r="B55" s="2250"/>
      <c r="C55" s="2250"/>
      <c r="D55" s="2250"/>
      <c r="E55" s="2250"/>
      <c r="F55" s="2250"/>
      <c r="G55" s="2250"/>
      <c r="H55" s="635"/>
      <c r="I55" s="639">
        <f>SUM(I8-I54)</f>
        <v>0</v>
      </c>
    </row>
  </sheetData>
  <mergeCells count="49">
    <mergeCell ref="A53:G53"/>
    <mergeCell ref="A54:G54"/>
    <mergeCell ref="A55:G55"/>
    <mergeCell ref="A7:G7"/>
    <mergeCell ref="A8:G8"/>
    <mergeCell ref="A9:G9"/>
    <mergeCell ref="A10:G10"/>
    <mergeCell ref="A11:G11"/>
    <mergeCell ref="A12:G12"/>
    <mergeCell ref="A13:G13"/>
    <mergeCell ref="A14:G14"/>
    <mergeCell ref="A15:G15"/>
    <mergeCell ref="A16:G16"/>
    <mergeCell ref="A49:G49"/>
    <mergeCell ref="A41:G41"/>
    <mergeCell ref="A42:G42"/>
    <mergeCell ref="A43:G43"/>
    <mergeCell ref="A44:G44"/>
    <mergeCell ref="A37:G37"/>
    <mergeCell ref="A38:G38"/>
    <mergeCell ref="A50:G50"/>
    <mergeCell ref="A51:G51"/>
    <mergeCell ref="A52:G52"/>
    <mergeCell ref="A45:G45"/>
    <mergeCell ref="A46:G46"/>
    <mergeCell ref="A47:G47"/>
    <mergeCell ref="A48:G48"/>
    <mergeCell ref="A39:G39"/>
    <mergeCell ref="A40:G40"/>
    <mergeCell ref="A33:G33"/>
    <mergeCell ref="A34:G34"/>
    <mergeCell ref="A35:G35"/>
    <mergeCell ref="A36:G36"/>
    <mergeCell ref="A29:G29"/>
    <mergeCell ref="A30:G30"/>
    <mergeCell ref="A31:G31"/>
    <mergeCell ref="A32:G32"/>
    <mergeCell ref="A25:G25"/>
    <mergeCell ref="A26:G26"/>
    <mergeCell ref="A27:G27"/>
    <mergeCell ref="A28:G28"/>
    <mergeCell ref="A21:G21"/>
    <mergeCell ref="A22:G22"/>
    <mergeCell ref="A23:G23"/>
    <mergeCell ref="A24:G24"/>
    <mergeCell ref="A17:G17"/>
    <mergeCell ref="A18:G18"/>
    <mergeCell ref="A19:G19"/>
    <mergeCell ref="A20:G20"/>
  </mergeCells>
  <printOptions/>
  <pageMargins left="0.59" right="0.6" top="0.58" bottom="0.91" header="0.4" footer="0.39"/>
  <pageSetup horizontalDpi="600" verticalDpi="600" orientation="portrait" paperSize="9" r:id="rId1"/>
  <headerFooter alignWithMargins="0">
    <oddFooter>&amp;C&amp;A&amp;R&amp;P/&amp;N</oddFooter>
  </headerFooter>
</worksheet>
</file>

<file path=xl/worksheets/sheet24.xml><?xml version="1.0" encoding="utf-8"?>
<worksheet xmlns="http://schemas.openxmlformats.org/spreadsheetml/2006/main" xmlns:r="http://schemas.openxmlformats.org/officeDocument/2006/relationships">
  <sheetPr codeName="Munka59">
    <tabColor indexed="11"/>
  </sheetPr>
  <dimension ref="A1:F368"/>
  <sheetViews>
    <sheetView showZeros="0" workbookViewId="0" topLeftCell="A16">
      <selection activeCell="E39" sqref="E39"/>
    </sheetView>
  </sheetViews>
  <sheetFormatPr defaultColWidth="9.00390625" defaultRowHeight="12.75"/>
  <cols>
    <col min="1" max="1" width="6.125" style="4" customWidth="1"/>
    <col min="2" max="2" width="2.75390625" style="4" customWidth="1"/>
    <col min="3" max="3" width="50.75390625" style="4" customWidth="1"/>
    <col min="4" max="6" width="15.75390625" style="4" customWidth="1"/>
    <col min="7" max="16384" width="9.125" style="4" customWidth="1"/>
  </cols>
  <sheetData>
    <row r="1" spans="1:5" ht="12.75">
      <c r="A1" s="1612" t="str">
        <f>'II.A'!A1</f>
        <v>Komáromi Távhő Kft</v>
      </c>
      <c r="E1" s="646" t="str">
        <f>'II.A'!H1</f>
        <v>Kiegészítő melléklet 2016. december 31.Hőszolgáltatás </v>
      </c>
    </row>
    <row r="2" spans="1:5" ht="12.75">
      <c r="A2" s="117"/>
      <c r="E2" s="647" t="str">
        <f>'II.A'!H2</f>
        <v>II. Tájékoztató kiegészítések</v>
      </c>
    </row>
    <row r="3" spans="1:5" ht="12.75">
      <c r="A3" s="645" t="str">
        <f>KiegMell!A31</f>
        <v>A közzétett adatokat könyvvizsgáló ellenőrizte</v>
      </c>
      <c r="B3" s="644"/>
      <c r="C3" s="644"/>
      <c r="D3" s="644"/>
      <c r="E3" s="644"/>
    </row>
    <row r="4" spans="1:5" ht="12.75">
      <c r="A4" s="645"/>
      <c r="B4" s="644"/>
      <c r="C4" s="644"/>
      <c r="D4" s="644"/>
      <c r="E4" s="644"/>
    </row>
    <row r="5" spans="1:5" s="374" customFormat="1" ht="25.5">
      <c r="A5" s="1583" t="str">
        <f>"II.D "&amp;IF(Általános!$B$19=Általános!$F$8,GLOBAL!B217,IF(Általános!$B$19=Általános!$F$9,GLOBAL!C217,IF(Általános!$B$19=Általános!$F$10,GLOBAL!D217)))</f>
        <v>II.D Cash Flow Kimutatás</v>
      </c>
      <c r="B5" s="375"/>
      <c r="C5" s="375"/>
      <c r="D5" s="375"/>
      <c r="E5" s="375"/>
    </row>
    <row r="7" ht="13.5" thickBot="1">
      <c r="E7" s="376" t="str">
        <f>'II.C'!I6</f>
        <v>Adatok E Ft-ban</v>
      </c>
    </row>
    <row r="8" spans="1:5" s="324" customFormat="1" ht="39" thickBot="1">
      <c r="A8" s="949" t="str">
        <f>Mérleg"A"!A10</f>
        <v>Sor-szám</v>
      </c>
      <c r="B8" s="1966"/>
      <c r="C8" s="1965" t="str">
        <f>'II.C'!A7</f>
        <v>Megnevezés </v>
      </c>
      <c r="D8" s="950" t="str">
        <f>Általános!B14</f>
        <v>2015</v>
      </c>
      <c r="E8" s="951" t="str">
        <f>Általános!B15</f>
        <v>2016. december 31.Hőszolgáltatás </v>
      </c>
    </row>
    <row r="9" spans="1:5" s="48" customFormat="1" ht="15.75">
      <c r="A9" s="952" t="s">
        <v>1082</v>
      </c>
      <c r="B9" s="953" t="str">
        <f>IF(Általános!$B$19=Általános!$F$8,GLOBAL!B218,IF(Általános!$B$19=Általános!$F$9,GLOBAL!C218,IF(Általános!$B$19=Általános!$F$10,GLOBAL!D218)))</f>
        <v>Szokásos tevékenységből származó pénzeszköz-változás</v>
      </c>
      <c r="C9" s="954"/>
      <c r="D9" s="955"/>
      <c r="E9" s="956"/>
    </row>
    <row r="10" spans="1:5" s="48" customFormat="1" ht="15.75">
      <c r="A10" s="957"/>
      <c r="B10" s="958" t="str">
        <f>IF(Általános!$B$19=Általános!$F$8,GLOBAL!B219,IF(Általános!$B$19=Általános!$F$9,GLOBAL!C219,IF(Általános!$B$19=Általános!$F$10,GLOBAL!D219)))</f>
        <v>(Működési cash flow, 1-13. sorok)</v>
      </c>
      <c r="C10" s="959"/>
      <c r="D10" s="960">
        <f>SUM(D11:D21)-D22-D23</f>
        <v>0</v>
      </c>
      <c r="E10" s="961">
        <f>SUM(E11:E21)-E22-E23</f>
        <v>0</v>
      </c>
    </row>
    <row r="11" spans="1:5" s="48" customFormat="1" ht="12.75">
      <c r="A11" s="243" t="s">
        <v>705</v>
      </c>
      <c r="B11" s="1946" t="s">
        <v>1649</v>
      </c>
      <c r="C11" s="1947" t="str">
        <f>IF(Általános!$B$19=Általános!$F$8,GLOBAL!B220,IF(Általános!$B$19=Általános!$F$9,GLOBAL!C220,IF(Általános!$B$19=Általános!$F$10,GLOBAL!D220)))</f>
        <v>Adózás előtti eredmény</v>
      </c>
      <c r="D11" s="1948"/>
      <c r="E11" s="314">
        <f>EredmÖsszktsg"A"!E76--E13-E15-E28-E35-E40</f>
        <v>0</v>
      </c>
    </row>
    <row r="12" spans="1:5" s="48" customFormat="1" ht="12.75">
      <c r="A12" s="243" t="s">
        <v>706</v>
      </c>
      <c r="B12" s="1946" t="s">
        <v>1433</v>
      </c>
      <c r="C12" s="1947" t="str">
        <f>IF(Általános!$B$19=Általános!$F$8,GLOBAL!B221,IF(Általános!$B$19=Általános!$F$9,GLOBAL!C221,IF(Általános!$B$19=Általános!$F$10,GLOBAL!D221)))</f>
        <v>Elszámolt amortizáció</v>
      </c>
      <c r="D12" s="1948"/>
      <c r="E12" s="314">
        <f>EredmÖsszktsg"A"!E30</f>
        <v>0</v>
      </c>
    </row>
    <row r="13" spans="1:5" s="48" customFormat="1" ht="12.75">
      <c r="A13" s="243" t="s">
        <v>707</v>
      </c>
      <c r="B13" s="1946" t="s">
        <v>1649</v>
      </c>
      <c r="C13" s="1947" t="str">
        <f>IF(Általános!$B$19=Általános!$F$8,GLOBAL!B222,IF(Általános!$B$19=Általános!$F$9,GLOBAL!C222,IF(Általános!$B$19=Általános!$F$10,GLOBAL!D222)))</f>
        <v>Elszámolt értékvesztés és visszaírás</v>
      </c>
      <c r="D13" s="1948"/>
      <c r="E13" s="314">
        <f>EredmÖsszktsg"A"!E32-EredmÖsszktsg"A"!E19</f>
        <v>0</v>
      </c>
    </row>
    <row r="14" spans="1:5" s="48" customFormat="1" ht="12.75">
      <c r="A14" s="243" t="s">
        <v>709</v>
      </c>
      <c r="B14" s="1946" t="s">
        <v>1649</v>
      </c>
      <c r="C14" s="1947" t="str">
        <f>IF(Általános!$B$19=Általános!$F$8,GLOBAL!B223,IF(Általános!$B$19=Általános!$F$9,GLOBAL!C223,IF(Általános!$B$19=Általános!$F$10,GLOBAL!D223)))</f>
        <v>Céltartalékképzés és felhasználás különbözete</v>
      </c>
      <c r="D14" s="1948"/>
      <c r="E14" s="314">
        <f>Mérleg"A"!E113-Mérleg"A"!C113</f>
        <v>0</v>
      </c>
    </row>
    <row r="15" spans="1:6" s="48" customFormat="1" ht="12.75">
      <c r="A15" s="243" t="s">
        <v>710</v>
      </c>
      <c r="B15" s="1946" t="s">
        <v>1649</v>
      </c>
      <c r="C15" s="1947" t="str">
        <f>IF(Általános!$B$19=Általános!$F$8,GLOBAL!B224,IF(Általános!$B$19=Általános!$F$9,GLOBAL!C224,IF(Általános!$B$19=Általános!$F$10,GLOBAL!D224)))</f>
        <v>Befektetett eszközök értékesítésének eredménye</v>
      </c>
      <c r="D15" s="1948"/>
      <c r="E15" s="1949"/>
      <c r="F15" s="1962" t="s">
        <v>1212</v>
      </c>
    </row>
    <row r="16" spans="1:5" s="48" customFormat="1" ht="12.75">
      <c r="A16" s="243" t="s">
        <v>712</v>
      </c>
      <c r="B16" s="1946" t="s">
        <v>1649</v>
      </c>
      <c r="C16" s="1947" t="str">
        <f>IF(Általános!$B$19=Általános!$F$8,GLOBAL!B225,IF(Általános!$B$19=Általános!$F$9,GLOBAL!C225,IF(Általános!$B$19=Általános!$F$10,GLOBAL!D225)))</f>
        <v>Szállítói kötelezettség változása</v>
      </c>
      <c r="D16" s="1948"/>
      <c r="E16" s="314">
        <f>Mérleg"A"!E157-Mérleg"A"!C157</f>
        <v>0</v>
      </c>
    </row>
    <row r="17" spans="1:5" s="48" customFormat="1" ht="12.75">
      <c r="A17" s="243" t="s">
        <v>713</v>
      </c>
      <c r="B17" s="1946" t="s">
        <v>1649</v>
      </c>
      <c r="C17" s="1947" t="str">
        <f>IF(Általános!$B$19=Általános!$F$8,GLOBAL!B226,IF(Általános!$B$19=Általános!$F$9,GLOBAL!C226,IF(Általános!$B$19=Általános!$F$10,GLOBAL!D226)))</f>
        <v>Egyéb rövid lejáratú kötelezettség változása</v>
      </c>
      <c r="D17" s="1948"/>
      <c r="E17" s="314">
        <f>(Mérleg"A"!E152-Mérleg"A"!C152)-E16</f>
        <v>0</v>
      </c>
    </row>
    <row r="18" spans="1:5" s="48" customFormat="1" ht="12.75">
      <c r="A18" s="243" t="s">
        <v>715</v>
      </c>
      <c r="B18" s="1946" t="s">
        <v>1649</v>
      </c>
      <c r="C18" s="1947" t="str">
        <f>IF(Általános!$B$19=Általános!$F$8,GLOBAL!B227,IF(Általános!$B$19=Általános!$F$9,GLOBAL!C227,IF(Általános!$B$19=Általános!$F$10,GLOBAL!D227)))</f>
        <v>Passzív időbeli elhatárolások változása</v>
      </c>
      <c r="D18" s="1948"/>
      <c r="E18" s="314">
        <f>Mérleg"A"!E162-Mérleg"A"!C162</f>
        <v>0</v>
      </c>
    </row>
    <row r="19" spans="1:5" s="48" customFormat="1" ht="12.75">
      <c r="A19" s="243" t="s">
        <v>716</v>
      </c>
      <c r="B19" s="1946" t="s">
        <v>1649</v>
      </c>
      <c r="C19" s="1947" t="str">
        <f>IF(Általános!$B$19=Általános!$F$8,GLOBAL!B228,IF(Általános!$B$19=Általános!$F$9,GLOBAL!C228,IF(Általános!$B$19=Általános!$F$10,GLOBAL!D228)))</f>
        <v>Vevőkövetelés változása</v>
      </c>
      <c r="D19" s="1948"/>
      <c r="E19" s="314">
        <f>Mérleg"A"!C63-Mérleg"A"!E63</f>
        <v>0</v>
      </c>
    </row>
    <row r="20" spans="1:5" s="48" customFormat="1" ht="12.75">
      <c r="A20" s="243" t="s">
        <v>576</v>
      </c>
      <c r="B20" s="1946" t="s">
        <v>1649</v>
      </c>
      <c r="C20" s="1947" t="str">
        <f>IF(Általános!$B$19=Általános!$F$8,GLOBAL!B229,IF(Általános!$B$19=Általános!$F$9,GLOBAL!C229,IF(Általános!$B$19=Általános!$F$10,GLOBAL!D229)))</f>
        <v>Forgóeszközök (vevőköv. és pénzeszköz nélkül) változása</v>
      </c>
      <c r="D20" s="1948"/>
      <c r="E20" s="314">
        <f>(Mérleg"A"!C55-Mérleg"A"!E55)+(Mérleg"A"!C62-Mérleg"A"!E62)+(Mérleg"A"!C68-Mérleg"A"!E68)-E19</f>
        <v>0</v>
      </c>
    </row>
    <row r="21" spans="1:5" s="48" customFormat="1" ht="12.75">
      <c r="A21" s="243" t="s">
        <v>577</v>
      </c>
      <c r="B21" s="1946" t="s">
        <v>1649</v>
      </c>
      <c r="C21" s="1947" t="str">
        <f>IF(Általános!$B$19=Általános!$F$8,GLOBAL!B230,IF(Általános!$B$19=Általános!$F$9,GLOBAL!C230,IF(Általános!$B$19=Általános!$F$10,GLOBAL!D230)))</f>
        <v>Aktív időbeli elhatárolások változása</v>
      </c>
      <c r="D21" s="1948"/>
      <c r="E21" s="314">
        <f>Mérleg"A"!C76-Mérleg"A"!E76</f>
        <v>0</v>
      </c>
    </row>
    <row r="22" spans="1:5" s="48" customFormat="1" ht="12.75">
      <c r="A22" s="243" t="s">
        <v>578</v>
      </c>
      <c r="B22" s="1946" t="s">
        <v>1434</v>
      </c>
      <c r="C22" s="1947" t="str">
        <f>IF(Általános!$B$19=Általános!$F$8,GLOBAL!B231,IF(Általános!$B$19=Általános!$F$9,GLOBAL!C231,IF(Általános!$B$19=Általános!$F$10,GLOBAL!D231)))</f>
        <v>Fizetett, fizetendő adó (nyereség után)</v>
      </c>
      <c r="D22" s="1948"/>
      <c r="E22" s="314">
        <f>-EredmÖsszktsg"A"!E77</f>
        <v>0</v>
      </c>
    </row>
    <row r="23" spans="1:5" s="48" customFormat="1" ht="12.75">
      <c r="A23" s="243" t="s">
        <v>1192</v>
      </c>
      <c r="B23" s="1946" t="s">
        <v>1434</v>
      </c>
      <c r="C23" s="1947" t="str">
        <f>IF(Általános!$B$19=Általános!$F$8,GLOBAL!B232,IF(Általános!$B$19=Általános!$F$9,GLOBAL!C232,IF(Általános!$B$19=Általános!$F$10,GLOBAL!D232)))</f>
        <v>Fizetett, fizetendő osztalék, részesedés</v>
      </c>
      <c r="D23" s="1948"/>
      <c r="E23" s="314">
        <f>-EredmÖsszktsg"A"!E80</f>
        <v>0</v>
      </c>
    </row>
    <row r="24" spans="1:5" s="48" customFormat="1" ht="15.75">
      <c r="A24" s="1950" t="s">
        <v>1088</v>
      </c>
      <c r="B24" s="1951" t="str">
        <f>IF(Általános!$B$19=Általános!$F$8,GLOBAL!B233,IF(Általános!$B$19=Általános!$F$9,GLOBAL!C233,IF(Általános!$B$19=Általános!$F$10,GLOBAL!D233)))</f>
        <v>Befektetési tevékenységből származó pénzeszköz-vált.</v>
      </c>
      <c r="C24" s="1952"/>
      <c r="D24" s="1953"/>
      <c r="E24" s="1954"/>
    </row>
    <row r="25" spans="1:5" s="48" customFormat="1" ht="15.75">
      <c r="A25" s="1950"/>
      <c r="B25" s="1955" t="str">
        <f>IF(Általános!$B$19=Általános!$F$8,GLOBAL!B234,IF(Általános!$B$19=Általános!$F$9,GLOBAL!C234,IF(Általános!$B$19=Általános!$F$10,GLOBAL!D234)))</f>
        <v>(Befektetési cash flow, 14-16. sorok)</v>
      </c>
      <c r="C25" s="1952"/>
      <c r="D25" s="1956">
        <f>SUM(D27:D28)-D26</f>
        <v>0</v>
      </c>
      <c r="E25" s="1957">
        <f>SUM(E27:E28)-E26</f>
        <v>0</v>
      </c>
    </row>
    <row r="26" spans="1:5" s="48" customFormat="1" ht="12.75">
      <c r="A26" s="243" t="s">
        <v>1193</v>
      </c>
      <c r="B26" s="1946" t="s">
        <v>1434</v>
      </c>
      <c r="C26" s="1947" t="str">
        <f>IF(Általános!$B$19=Általános!$F$8,GLOBAL!B235,IF(Általános!$B$19=Általános!$F$9,GLOBAL!C235,IF(Általános!$B$19=Általános!$F$10,GLOBAL!D235)))</f>
        <v>Befektetett eszközök beszerzése</v>
      </c>
      <c r="D26" s="1948"/>
      <c r="E26" s="314">
        <f>('III.A.I-II'!D20+'III.A.I-II'!D27)</f>
        <v>0</v>
      </c>
    </row>
    <row r="27" spans="1:6" s="48" customFormat="1" ht="12.75">
      <c r="A27" s="243" t="s">
        <v>1194</v>
      </c>
      <c r="B27" s="1946" t="s">
        <v>1433</v>
      </c>
      <c r="C27" s="1947" t="str">
        <f>IF(Általános!$B$19=Általános!$F$8,GLOBAL!B236,IF(Általános!$B$19=Általános!$F$9,GLOBAL!C236,IF(Általános!$B$19=Általános!$F$10,GLOBAL!D236)))</f>
        <v>Befektetett eszközök eladása</v>
      </c>
      <c r="D27" s="1948"/>
      <c r="E27" s="1949"/>
      <c r="F27" s="1962" t="s">
        <v>1212</v>
      </c>
    </row>
    <row r="28" spans="1:5" s="48" customFormat="1" ht="12.75">
      <c r="A28" s="243" t="s">
        <v>1195</v>
      </c>
      <c r="B28" s="1946" t="s">
        <v>1433</v>
      </c>
      <c r="C28" s="1947" t="str">
        <f>IF(Általános!$B$19=Általános!$F$8,GLOBAL!B237,IF(Általános!$B$19=Általános!$F$9,GLOBAL!C237,IF(Általános!$B$19=Általános!$F$10,GLOBAL!D237)))</f>
        <v>Kapott osztalék, részesedés</v>
      </c>
      <c r="D28" s="1948"/>
      <c r="E28" s="314">
        <f>EredmÖsszktsg"A"!E54</f>
        <v>0</v>
      </c>
    </row>
    <row r="29" spans="1:5" s="48" customFormat="1" ht="15.75">
      <c r="A29" s="1950" t="s">
        <v>1090</v>
      </c>
      <c r="B29" s="1951" t="str">
        <f>IF(Általános!$B$19=Általános!$F$8,GLOBAL!B238,IF(Általános!$B$19=Általános!$F$9,GLOBAL!C238,IF(Általános!$B$19=Általános!$F$10,GLOBAL!D238)))</f>
        <v>Pénzügyi műveletekből származó pénzeszköz-változás</v>
      </c>
      <c r="C29" s="1952"/>
      <c r="D29" s="1953"/>
      <c r="E29" s="1954"/>
    </row>
    <row r="30" spans="1:5" s="48" customFormat="1" ht="15.75">
      <c r="A30" s="1950"/>
      <c r="B30" s="1955" t="str">
        <f>IF(Általános!$B$19=Általános!$F$8,GLOBAL!B239,IF(Általános!$B$19=Általános!$F$9,GLOBAL!C239,IF(Általános!$B$19=Általános!$F$10,GLOBAL!D239)))</f>
        <v>(Finanszírozási cash flow, 17-27. sorok)</v>
      </c>
      <c r="C30" s="1952"/>
      <c r="D30" s="1956">
        <f>SUM(D31:D35)-SUM(D36:D41)</f>
        <v>0</v>
      </c>
      <c r="E30" s="1957">
        <f>SUM(E31:E35)-SUM(E36:E41)</f>
        <v>0</v>
      </c>
    </row>
    <row r="31" spans="1:6" s="48" customFormat="1" ht="12.75">
      <c r="A31" s="243" t="s">
        <v>1196</v>
      </c>
      <c r="B31" s="1946" t="s">
        <v>1433</v>
      </c>
      <c r="C31" s="1947" t="str">
        <f>IF(Általános!$B$19=Általános!$F$8,GLOBAL!B240,IF(Általános!$B$19=Általános!$F$9,GLOBAL!C240,IF(Általános!$B$19=Általános!$F$10,GLOBAL!D240)))</f>
        <v>Részvénykibocsátás, tőkebevonás bevétele</v>
      </c>
      <c r="D31" s="1948"/>
      <c r="E31" s="1949"/>
      <c r="F31" s="1962" t="s">
        <v>1212</v>
      </c>
    </row>
    <row r="32" spans="1:6" s="48" customFormat="1" ht="25.5">
      <c r="A32" s="243" t="s">
        <v>1197</v>
      </c>
      <c r="B32" s="1946" t="s">
        <v>1433</v>
      </c>
      <c r="C32" s="1947" t="str">
        <f>IF(Általános!$B$19=Általános!$F$8,GLOBAL!B241,IF(Általános!$B$19=Általános!$F$9,GLOBAL!C241,IF(Általános!$B$19=Általános!$F$10,GLOBAL!D241)))</f>
        <v>Kötvény, hitelviszonyt megtestesítő értékpapír kibocsátásának bevétele</v>
      </c>
      <c r="D32" s="1948"/>
      <c r="E32" s="1949"/>
      <c r="F32" s="1962" t="s">
        <v>1212</v>
      </c>
    </row>
    <row r="33" spans="1:6" s="48" customFormat="1" ht="12.75">
      <c r="A33" s="243" t="s">
        <v>1198</v>
      </c>
      <c r="B33" s="1946" t="s">
        <v>1433</v>
      </c>
      <c r="C33" s="1947" t="str">
        <f>IF(Általános!$B$19=Általános!$F$8,GLOBAL!B242,IF(Általános!$B$19=Általános!$F$9,GLOBAL!C242,IF(Általános!$B$19=Általános!$F$10,GLOBAL!D242)))</f>
        <v>Hitel és kölcsön felvétele</v>
      </c>
      <c r="D33" s="1948"/>
      <c r="E33" s="1949"/>
      <c r="F33" s="1962" t="s">
        <v>1212</v>
      </c>
    </row>
    <row r="34" spans="1:6" s="48" customFormat="1" ht="25.5">
      <c r="A34" s="243" t="s">
        <v>1199</v>
      </c>
      <c r="B34" s="1946" t="s">
        <v>1433</v>
      </c>
      <c r="C34" s="1947" t="str">
        <f>IF(Általános!$B$19=Általános!$F$8,GLOBAL!B243,IF(Általános!$B$19=Általános!$F$9,GLOBAL!C243,IF(Általános!$B$19=Általános!$F$10,GLOBAL!D243)))</f>
        <v>Hosszú lejáratra nyújtott kölcsönök és elhelyezett bankbetétek törlesztése, megszüntetése, beváltása</v>
      </c>
      <c r="D34" s="1948"/>
      <c r="E34" s="314">
        <f>'L.A.III'!E16+'L.A.III'!E26+'L.A.III'!E31</f>
        <v>0</v>
      </c>
      <c r="F34" s="1963"/>
    </row>
    <row r="35" spans="1:6" s="48" customFormat="1" ht="12.75">
      <c r="A35" s="243" t="s">
        <v>1200</v>
      </c>
      <c r="B35" s="1946" t="s">
        <v>1433</v>
      </c>
      <c r="C35" s="1947" t="str">
        <f>IF(Általános!$B$19=Általános!$F$8,GLOBAL!B244,IF(Általános!$B$19=Általános!$F$9,GLOBAL!C244,IF(Általános!$B$19=Általános!$F$10,GLOBAL!D244)))</f>
        <v>Véglegesen kapott pénzeszköz</v>
      </c>
      <c r="D35" s="1948"/>
      <c r="E35" s="1949"/>
      <c r="F35" s="1962" t="s">
        <v>1212</v>
      </c>
    </row>
    <row r="36" spans="1:6" s="48" customFormat="1" ht="12.75">
      <c r="A36" s="243" t="s">
        <v>1201</v>
      </c>
      <c r="B36" s="1946" t="s">
        <v>1434</v>
      </c>
      <c r="C36" s="1947" t="str">
        <f>IF(Általános!$B$19=Általános!$F$8,GLOBAL!B245,IF(Általános!$B$19=Általános!$F$9,GLOBAL!C245,IF(Általános!$B$19=Általános!$F$10,GLOBAL!D245)))</f>
        <v>Részvénybevonás, tőkekivonás (tőkeleszállítás)</v>
      </c>
      <c r="D36" s="1948"/>
      <c r="E36" s="1949"/>
      <c r="F36" s="1962" t="s">
        <v>1212</v>
      </c>
    </row>
    <row r="37" spans="1:6" s="48" customFormat="1" ht="25.5">
      <c r="A37" s="243" t="s">
        <v>1202</v>
      </c>
      <c r="B37" s="1946" t="s">
        <v>1434</v>
      </c>
      <c r="C37" s="1947" t="str">
        <f>IF(Általános!$B$19=Általános!$F$8,GLOBAL!B246,IF(Általános!$B$19=Általános!$F$9,GLOBAL!C246,IF(Általános!$B$19=Általános!$F$10,GLOBAL!D246)))</f>
        <v>Kötvény és hitelviszonyt megtest. értékpapír visszafizetése</v>
      </c>
      <c r="D37" s="1948"/>
      <c r="E37" s="1949"/>
      <c r="F37" s="1962" t="s">
        <v>1212</v>
      </c>
    </row>
    <row r="38" spans="1:6" s="48" customFormat="1" ht="12.75">
      <c r="A38" s="243" t="s">
        <v>1203</v>
      </c>
      <c r="B38" s="1946" t="s">
        <v>1434</v>
      </c>
      <c r="C38" s="1947" t="str">
        <f>IF(Általános!$B$19=Általános!$F$8,GLOBAL!B247,IF(Általános!$B$19=Általános!$F$9,GLOBAL!C247,IF(Általános!$B$19=Általános!$F$10,GLOBAL!D247)))</f>
        <v>Hitel és kölcsön törlesztése, visszafizetése</v>
      </c>
      <c r="D38" s="1948"/>
      <c r="E38" s="1949"/>
      <c r="F38" s="1962" t="s">
        <v>1212</v>
      </c>
    </row>
    <row r="39" spans="1:6" s="48" customFormat="1" ht="12.75">
      <c r="A39" s="243" t="s">
        <v>1204</v>
      </c>
      <c r="B39" s="1946" t="s">
        <v>1434</v>
      </c>
      <c r="C39" s="1947" t="str">
        <f>IF(Általános!$B$19=Általános!$F$8,GLOBAL!B248,IF(Általános!$B$19=Általános!$F$9,GLOBAL!C248,IF(Általános!$B$19=Általános!$F$10,GLOBAL!D248)))</f>
        <v>Hosszú lejáratra nyújtott kölcs.és elhelyezett bankbetétek</v>
      </c>
      <c r="D39" s="1948"/>
      <c r="E39" s="314">
        <f>('L.A.III'!D31+'L.A.III'!D26+'L.A.III'!D16)</f>
        <v>0</v>
      </c>
      <c r="F39" s="1963"/>
    </row>
    <row r="40" spans="1:6" s="48" customFormat="1" ht="12.75">
      <c r="A40" s="243" t="s">
        <v>1207</v>
      </c>
      <c r="B40" s="1946" t="s">
        <v>1434</v>
      </c>
      <c r="C40" s="1947" t="str">
        <f>IF(Általános!$B$19=Általános!$F$8,GLOBAL!B249,IF(Általános!$B$19=Általános!$F$9,GLOBAL!C249,IF(Általános!$B$19=Általános!$F$10,GLOBAL!D249)))</f>
        <v>Véglegesen átadott pénzeszköz</v>
      </c>
      <c r="D40" s="1948"/>
      <c r="E40" s="1949"/>
      <c r="F40" s="1962" t="s">
        <v>1212</v>
      </c>
    </row>
    <row r="41" spans="1:6" s="48" customFormat="1" ht="26.25" thickBot="1">
      <c r="A41" s="305" t="s">
        <v>1208</v>
      </c>
      <c r="B41" s="1958" t="s">
        <v>1434</v>
      </c>
      <c r="C41" s="1959" t="str">
        <f>IF(Általános!$B$19=Általános!$F$8,GLOBAL!B250,IF(Általános!$B$19=Általános!$F$9,GLOBAL!C250,IF(Általános!$B$19=Általános!$F$10,GLOBAL!D250)))</f>
        <v>Alapítókkal szembeni, illetve egyéb hosszú lejáratú kötelezettségek változása</v>
      </c>
      <c r="D41" s="1960"/>
      <c r="E41" s="1961"/>
      <c r="F41" s="1962" t="s">
        <v>1212</v>
      </c>
    </row>
    <row r="42" spans="1:5" s="48" customFormat="1" ht="27" customHeight="1" thickBot="1">
      <c r="A42" s="962" t="s">
        <v>1108</v>
      </c>
      <c r="B42" s="963" t="str">
        <f>IF(Általános!$B$19=Általános!$F$8,GLOBAL!B251,IF(Általános!$B$19=Általános!$F$9,GLOBAL!C251,IF(Általános!$B$19=Általános!$F$10,GLOBAL!D251)))</f>
        <v>Pénzeszközök változása (±I±II±III.sorok) ±</v>
      </c>
      <c r="C42" s="964"/>
      <c r="D42" s="965">
        <f>D10+D25+D30</f>
        <v>0</v>
      </c>
      <c r="E42" s="1964">
        <f>E10+E25+E30</f>
        <v>0</v>
      </c>
    </row>
    <row r="43" spans="1:2" s="48" customFormat="1" ht="12.75">
      <c r="A43" s="325"/>
      <c r="B43" s="326"/>
    </row>
    <row r="44" spans="1:2" s="48" customFormat="1" ht="12.75">
      <c r="A44" s="325"/>
      <c r="B44" s="326"/>
    </row>
    <row r="45" spans="1:2" s="48" customFormat="1" ht="12.75">
      <c r="A45" s="325"/>
      <c r="B45" s="326"/>
    </row>
    <row r="46" spans="1:2" s="48" customFormat="1" ht="12.75">
      <c r="A46" s="325"/>
      <c r="B46" s="326"/>
    </row>
    <row r="47" spans="1:2" s="48" customFormat="1" ht="12.75">
      <c r="A47" s="325"/>
      <c r="B47" s="326"/>
    </row>
    <row r="48" spans="1:2" s="48" customFormat="1" ht="12.75">
      <c r="A48" s="325"/>
      <c r="B48" s="326"/>
    </row>
    <row r="49" spans="1:2" s="48" customFormat="1" ht="12.75">
      <c r="A49" s="325"/>
      <c r="B49" s="326"/>
    </row>
    <row r="50" spans="1:2" s="48" customFormat="1" ht="12.75">
      <c r="A50" s="325"/>
      <c r="B50" s="326"/>
    </row>
    <row r="51" spans="1:2" s="48" customFormat="1" ht="12.75">
      <c r="A51" s="325"/>
      <c r="B51" s="326"/>
    </row>
    <row r="52" spans="1:2" s="48" customFormat="1" ht="12.75">
      <c r="A52" s="325"/>
      <c r="B52" s="326"/>
    </row>
    <row r="53" spans="1:2" s="48" customFormat="1" ht="12.75">
      <c r="A53" s="325"/>
      <c r="B53" s="326"/>
    </row>
    <row r="54" spans="1:2" s="48" customFormat="1" ht="12.75">
      <c r="A54" s="325"/>
      <c r="B54" s="326"/>
    </row>
    <row r="55" spans="1:2" s="48" customFormat="1" ht="12.75">
      <c r="A55" s="325"/>
      <c r="B55" s="326"/>
    </row>
    <row r="56" spans="1:2" s="48" customFormat="1" ht="12.75">
      <c r="A56" s="325"/>
      <c r="B56" s="326"/>
    </row>
    <row r="57" spans="1:2" s="48" customFormat="1" ht="12.75">
      <c r="A57" s="325"/>
      <c r="B57" s="326"/>
    </row>
    <row r="58" spans="1:2" s="48" customFormat="1" ht="12.75">
      <c r="A58" s="325"/>
      <c r="B58" s="326"/>
    </row>
    <row r="59" spans="1:2" s="48" customFormat="1" ht="12.75">
      <c r="A59" s="325"/>
      <c r="B59" s="326"/>
    </row>
    <row r="60" spans="1:2" s="48" customFormat="1" ht="12.75">
      <c r="A60" s="325"/>
      <c r="B60" s="326"/>
    </row>
    <row r="61" spans="1:2" s="48" customFormat="1" ht="12.75">
      <c r="A61" s="325"/>
      <c r="B61" s="326"/>
    </row>
    <row r="62" spans="1:2" s="48" customFormat="1" ht="12.75">
      <c r="A62" s="325"/>
      <c r="B62" s="326"/>
    </row>
    <row r="63" spans="1:2" s="48" customFormat="1" ht="12.75">
      <c r="A63" s="325"/>
      <c r="B63" s="326"/>
    </row>
    <row r="64" spans="1:2" s="48" customFormat="1" ht="12.75">
      <c r="A64" s="325"/>
      <c r="B64" s="326"/>
    </row>
    <row r="65" spans="1:2" s="48" customFormat="1" ht="12.75">
      <c r="A65" s="325"/>
      <c r="B65" s="326"/>
    </row>
    <row r="66" spans="1:2" s="48" customFormat="1" ht="12.75">
      <c r="A66" s="325"/>
      <c r="B66" s="326"/>
    </row>
    <row r="67" spans="1:2" s="48" customFormat="1" ht="12.75">
      <c r="A67" s="325"/>
      <c r="B67" s="326"/>
    </row>
    <row r="68" spans="1:2" s="48" customFormat="1" ht="12.75">
      <c r="A68" s="325"/>
      <c r="B68" s="326"/>
    </row>
    <row r="69" spans="1:2" s="48" customFormat="1" ht="12.75">
      <c r="A69" s="325"/>
      <c r="B69" s="326"/>
    </row>
    <row r="70" spans="1:2" s="48" customFormat="1" ht="12.75">
      <c r="A70" s="325"/>
      <c r="B70" s="326"/>
    </row>
    <row r="71" spans="1:2" s="48" customFormat="1" ht="12.75">
      <c r="A71" s="325"/>
      <c r="B71" s="326"/>
    </row>
    <row r="72" spans="1:2" s="48" customFormat="1" ht="12.75">
      <c r="A72" s="325"/>
      <c r="B72" s="326"/>
    </row>
    <row r="73" spans="1:2" s="48" customFormat="1" ht="12.75">
      <c r="A73" s="325"/>
      <c r="B73" s="326"/>
    </row>
    <row r="74" spans="1:2" s="48" customFormat="1" ht="12.75">
      <c r="A74" s="325"/>
      <c r="B74" s="326"/>
    </row>
    <row r="75" spans="1:2" s="48" customFormat="1" ht="12.75">
      <c r="A75" s="325"/>
      <c r="B75" s="326"/>
    </row>
    <row r="76" spans="1:2" s="48" customFormat="1" ht="12.75">
      <c r="A76" s="325"/>
      <c r="B76" s="326"/>
    </row>
    <row r="77" spans="1:2" s="48" customFormat="1" ht="12.75">
      <c r="A77" s="325"/>
      <c r="B77" s="326"/>
    </row>
    <row r="78" spans="1:2" s="48" customFormat="1" ht="12.75">
      <c r="A78" s="325"/>
      <c r="B78" s="326"/>
    </row>
    <row r="79" spans="1:2" s="48" customFormat="1" ht="12.75">
      <c r="A79" s="325"/>
      <c r="B79" s="326"/>
    </row>
    <row r="80" spans="1:2" s="48" customFormat="1" ht="12.75">
      <c r="A80" s="325"/>
      <c r="B80" s="326"/>
    </row>
    <row r="81" spans="1:2" s="48" customFormat="1" ht="12.75">
      <c r="A81" s="325"/>
      <c r="B81" s="326"/>
    </row>
    <row r="82" spans="1:2" s="48" customFormat="1" ht="12.75">
      <c r="A82" s="325"/>
      <c r="B82" s="326"/>
    </row>
    <row r="83" spans="1:2" s="48" customFormat="1" ht="12.75">
      <c r="A83" s="325"/>
      <c r="B83" s="326"/>
    </row>
    <row r="84" spans="1:2" s="48" customFormat="1" ht="12.75">
      <c r="A84" s="325"/>
      <c r="B84" s="326"/>
    </row>
    <row r="85" spans="1:2" s="48" customFormat="1" ht="12.75">
      <c r="A85" s="325"/>
      <c r="B85" s="326"/>
    </row>
    <row r="86" spans="1:2" s="48" customFormat="1" ht="12.75">
      <c r="A86" s="325"/>
      <c r="B86" s="326"/>
    </row>
    <row r="87" spans="1:2" s="48" customFormat="1" ht="12.75">
      <c r="A87" s="325"/>
      <c r="B87" s="326"/>
    </row>
    <row r="88" spans="1:2" s="48" customFormat="1" ht="12.75">
      <c r="A88" s="325"/>
      <c r="B88" s="326"/>
    </row>
    <row r="89" spans="1:2" s="48" customFormat="1" ht="12.75">
      <c r="A89" s="325"/>
      <c r="B89" s="326"/>
    </row>
    <row r="90" spans="1:2" s="48" customFormat="1" ht="12.75">
      <c r="A90" s="325"/>
      <c r="B90" s="326"/>
    </row>
    <row r="91" spans="1:2" s="48" customFormat="1" ht="12.75">
      <c r="A91" s="325"/>
      <c r="B91" s="326"/>
    </row>
    <row r="92" spans="1:2" s="48" customFormat="1" ht="12.75">
      <c r="A92" s="325"/>
      <c r="B92" s="326"/>
    </row>
    <row r="93" spans="1:2" s="48" customFormat="1" ht="12.75">
      <c r="A93" s="325"/>
      <c r="B93" s="326"/>
    </row>
    <row r="94" spans="1:2" s="48" customFormat="1" ht="12.75">
      <c r="A94" s="325"/>
      <c r="B94" s="326"/>
    </row>
    <row r="95" spans="1:2" s="48" customFormat="1" ht="12.75">
      <c r="A95" s="325"/>
      <c r="B95" s="326"/>
    </row>
    <row r="96" spans="1:2" s="48" customFormat="1" ht="12.75">
      <c r="A96" s="325"/>
      <c r="B96" s="326"/>
    </row>
    <row r="97" spans="1:2" s="48" customFormat="1" ht="12.75">
      <c r="A97" s="325"/>
      <c r="B97" s="326"/>
    </row>
    <row r="98" spans="1:2" s="48" customFormat="1" ht="12.75">
      <c r="A98" s="325"/>
      <c r="B98" s="326"/>
    </row>
    <row r="99" spans="1:2" s="48" customFormat="1" ht="12.75">
      <c r="A99" s="325"/>
      <c r="B99" s="326"/>
    </row>
    <row r="100" spans="1:2" s="48" customFormat="1" ht="12.75">
      <c r="A100" s="325"/>
      <c r="B100" s="326"/>
    </row>
    <row r="101" spans="1:2" s="48" customFormat="1" ht="12.75">
      <c r="A101" s="325"/>
      <c r="B101" s="326"/>
    </row>
    <row r="102" spans="1:2" s="48" customFormat="1" ht="12.75">
      <c r="A102" s="325"/>
      <c r="B102" s="326"/>
    </row>
    <row r="103" spans="1:2" s="48" customFormat="1" ht="12.75">
      <c r="A103" s="325"/>
      <c r="B103" s="326"/>
    </row>
    <row r="104" spans="1:2" s="48" customFormat="1" ht="12.75">
      <c r="A104" s="325"/>
      <c r="B104" s="326"/>
    </row>
    <row r="105" spans="1:2" s="48" customFormat="1" ht="12.75">
      <c r="A105" s="325"/>
      <c r="B105" s="326"/>
    </row>
    <row r="106" spans="1:2" s="48" customFormat="1" ht="12.75">
      <c r="A106" s="325"/>
      <c r="B106" s="326"/>
    </row>
    <row r="107" spans="1:2" s="48" customFormat="1" ht="12.75">
      <c r="A107" s="325"/>
      <c r="B107" s="326"/>
    </row>
    <row r="108" spans="1:2" s="48" customFormat="1" ht="12.75">
      <c r="A108" s="325"/>
      <c r="B108" s="326"/>
    </row>
    <row r="109" spans="1:2" s="48" customFormat="1" ht="12.75">
      <c r="A109" s="325"/>
      <c r="B109" s="326"/>
    </row>
    <row r="110" spans="1:2" s="48" customFormat="1" ht="12.75">
      <c r="A110" s="325"/>
      <c r="B110" s="326"/>
    </row>
    <row r="111" spans="1:2" s="48" customFormat="1" ht="12.75">
      <c r="A111" s="325"/>
      <c r="B111" s="326"/>
    </row>
    <row r="112" spans="1:2" s="48" customFormat="1" ht="12.75">
      <c r="A112" s="325"/>
      <c r="B112" s="326"/>
    </row>
    <row r="113" spans="1:2" s="48" customFormat="1" ht="12.75">
      <c r="A113" s="325"/>
      <c r="B113" s="326"/>
    </row>
    <row r="114" spans="1:2" s="48" customFormat="1" ht="12.75">
      <c r="A114" s="325"/>
      <c r="B114" s="326"/>
    </row>
    <row r="115" spans="1:2" s="48" customFormat="1" ht="12.75">
      <c r="A115" s="325"/>
      <c r="B115" s="326"/>
    </row>
    <row r="116" spans="1:2" s="48" customFormat="1" ht="12.75">
      <c r="A116" s="325"/>
      <c r="B116" s="326"/>
    </row>
    <row r="117" spans="1:2" s="48" customFormat="1" ht="12.75">
      <c r="A117" s="325"/>
      <c r="B117" s="326"/>
    </row>
    <row r="118" spans="1:2" s="48" customFormat="1" ht="12.75">
      <c r="A118" s="325"/>
      <c r="B118" s="326"/>
    </row>
    <row r="119" spans="1:2" s="48" customFormat="1" ht="12.75">
      <c r="A119" s="325"/>
      <c r="B119" s="326"/>
    </row>
    <row r="120" spans="1:2" s="48" customFormat="1" ht="12.75">
      <c r="A120" s="325"/>
      <c r="B120" s="326"/>
    </row>
    <row r="121" spans="1:2" s="48" customFormat="1" ht="12.75">
      <c r="A121" s="325"/>
      <c r="B121" s="326"/>
    </row>
    <row r="122" spans="1:2" s="48" customFormat="1" ht="12.75">
      <c r="A122" s="325"/>
      <c r="B122" s="326"/>
    </row>
    <row r="123" spans="1:2" s="48" customFormat="1" ht="12.75">
      <c r="A123" s="325"/>
      <c r="B123" s="326"/>
    </row>
    <row r="124" spans="1:2" s="48" customFormat="1" ht="12.75">
      <c r="A124" s="325"/>
      <c r="B124" s="326"/>
    </row>
    <row r="125" spans="1:2" s="48" customFormat="1" ht="12.75">
      <c r="A125" s="325"/>
      <c r="B125" s="326"/>
    </row>
    <row r="126" spans="1:2" s="48" customFormat="1" ht="12.75">
      <c r="A126" s="325"/>
      <c r="B126" s="326"/>
    </row>
    <row r="127" spans="1:2" s="48" customFormat="1" ht="12.75">
      <c r="A127" s="325"/>
      <c r="B127" s="326"/>
    </row>
    <row r="128" spans="1:2" s="48" customFormat="1" ht="12.75">
      <c r="A128" s="325"/>
      <c r="B128" s="326"/>
    </row>
    <row r="129" spans="1:2" s="48" customFormat="1" ht="12.75">
      <c r="A129" s="325"/>
      <c r="B129" s="326"/>
    </row>
    <row r="130" spans="1:2" s="48" customFormat="1" ht="12.75">
      <c r="A130" s="325"/>
      <c r="B130" s="326"/>
    </row>
    <row r="131" spans="1:2" s="48" customFormat="1" ht="12.75">
      <c r="A131" s="325"/>
      <c r="B131" s="326"/>
    </row>
    <row r="132" spans="1:2" s="48" customFormat="1" ht="12.75">
      <c r="A132" s="325"/>
      <c r="B132" s="326"/>
    </row>
    <row r="133" spans="1:2" s="48" customFormat="1" ht="12.75">
      <c r="A133" s="325"/>
      <c r="B133" s="326"/>
    </row>
    <row r="134" spans="1:2" s="48" customFormat="1" ht="12.75">
      <c r="A134" s="325"/>
      <c r="B134" s="326"/>
    </row>
    <row r="135" spans="1:2" s="48" customFormat="1" ht="12.75">
      <c r="A135" s="325"/>
      <c r="B135" s="326"/>
    </row>
    <row r="136" spans="1:2" s="48" customFormat="1" ht="12.75">
      <c r="A136" s="325"/>
      <c r="B136" s="326"/>
    </row>
    <row r="137" spans="1:2" s="48" customFormat="1" ht="12.75">
      <c r="A137" s="325"/>
      <c r="B137" s="326"/>
    </row>
    <row r="138" spans="1:2" s="48" customFormat="1" ht="12.75">
      <c r="A138" s="325"/>
      <c r="B138" s="326"/>
    </row>
    <row r="139" spans="1:2" s="48" customFormat="1" ht="12.75">
      <c r="A139" s="325"/>
      <c r="B139" s="326"/>
    </row>
    <row r="140" spans="1:2" s="48" customFormat="1" ht="12.75">
      <c r="A140" s="325"/>
      <c r="B140" s="326"/>
    </row>
    <row r="141" spans="1:2" s="48" customFormat="1" ht="12.75">
      <c r="A141" s="325"/>
      <c r="B141" s="326"/>
    </row>
    <row r="142" spans="1:2" s="48" customFormat="1" ht="12.75">
      <c r="A142" s="325"/>
      <c r="B142" s="326"/>
    </row>
    <row r="143" spans="1:2" s="48" customFormat="1" ht="12.75">
      <c r="A143" s="325"/>
      <c r="B143" s="326"/>
    </row>
    <row r="144" spans="1:2" s="48" customFormat="1" ht="12.75">
      <c r="A144" s="325"/>
      <c r="B144" s="326"/>
    </row>
    <row r="145" spans="1:2" s="48" customFormat="1" ht="12.75">
      <c r="A145" s="325"/>
      <c r="B145" s="326"/>
    </row>
    <row r="146" spans="1:2" s="48" customFormat="1" ht="12.75">
      <c r="A146" s="325"/>
      <c r="B146" s="326"/>
    </row>
    <row r="147" spans="1:2" s="48" customFormat="1" ht="12.75">
      <c r="A147" s="325"/>
      <c r="B147" s="326"/>
    </row>
    <row r="148" spans="1:2" s="48" customFormat="1" ht="12.75">
      <c r="A148" s="325"/>
      <c r="B148" s="326"/>
    </row>
    <row r="149" spans="1:2" s="48" customFormat="1" ht="12.75">
      <c r="A149" s="325"/>
      <c r="B149" s="326"/>
    </row>
    <row r="150" spans="1:2" s="48" customFormat="1" ht="12.75">
      <c r="A150" s="325"/>
      <c r="B150" s="326"/>
    </row>
    <row r="151" spans="1:2" s="48" customFormat="1" ht="12.75">
      <c r="A151" s="325"/>
      <c r="B151" s="326"/>
    </row>
    <row r="152" spans="1:2" s="48" customFormat="1" ht="12.75">
      <c r="A152" s="325"/>
      <c r="B152" s="326"/>
    </row>
    <row r="153" spans="1:2" s="48" customFormat="1" ht="12.75">
      <c r="A153" s="325"/>
      <c r="B153" s="326"/>
    </row>
    <row r="154" spans="1:2" s="48" customFormat="1" ht="12.75">
      <c r="A154" s="325"/>
      <c r="B154" s="326"/>
    </row>
    <row r="155" spans="1:2" s="48" customFormat="1" ht="12.75">
      <c r="A155" s="325"/>
      <c r="B155" s="326"/>
    </row>
    <row r="156" spans="1:2" s="48" customFormat="1" ht="12.75">
      <c r="A156" s="325"/>
      <c r="B156" s="326"/>
    </row>
    <row r="157" spans="1:2" s="48" customFormat="1" ht="12.75">
      <c r="A157" s="325"/>
      <c r="B157" s="326"/>
    </row>
    <row r="158" spans="1:2" s="48" customFormat="1" ht="12.75">
      <c r="A158" s="325"/>
      <c r="B158" s="326"/>
    </row>
    <row r="159" spans="1:2" s="48" customFormat="1" ht="12.75">
      <c r="A159" s="325"/>
      <c r="B159" s="326"/>
    </row>
    <row r="160" spans="1:2" s="48" customFormat="1" ht="12.75">
      <c r="A160" s="325"/>
      <c r="B160" s="326"/>
    </row>
    <row r="161" spans="1:2" s="48" customFormat="1" ht="12.75">
      <c r="A161" s="325"/>
      <c r="B161" s="326"/>
    </row>
    <row r="162" spans="1:2" s="48" customFormat="1" ht="12.75">
      <c r="A162" s="325"/>
      <c r="B162" s="326"/>
    </row>
    <row r="163" spans="1:2" s="48" customFormat="1" ht="12.75">
      <c r="A163" s="325"/>
      <c r="B163" s="326"/>
    </row>
    <row r="164" spans="1:2" s="48" customFormat="1" ht="12.75">
      <c r="A164" s="325"/>
      <c r="B164" s="326"/>
    </row>
    <row r="165" spans="1:2" s="48" customFormat="1" ht="12.75">
      <c r="A165" s="325"/>
      <c r="B165" s="326"/>
    </row>
    <row r="166" spans="1:2" s="48" customFormat="1" ht="12.75">
      <c r="A166" s="325"/>
      <c r="B166" s="326"/>
    </row>
    <row r="167" spans="1:2" s="48" customFormat="1" ht="12.75">
      <c r="A167" s="325"/>
      <c r="B167" s="326"/>
    </row>
    <row r="168" spans="1:2" s="48" customFormat="1" ht="12.75">
      <c r="A168" s="325"/>
      <c r="B168" s="326"/>
    </row>
    <row r="169" spans="1:2" s="48" customFormat="1" ht="12.75">
      <c r="A169" s="325"/>
      <c r="B169" s="326"/>
    </row>
    <row r="170" spans="1:2" s="48" customFormat="1" ht="12.75">
      <c r="A170" s="325"/>
      <c r="B170" s="326"/>
    </row>
    <row r="171" spans="1:2" s="48" customFormat="1" ht="12.75">
      <c r="A171" s="325"/>
      <c r="B171" s="326"/>
    </row>
    <row r="172" spans="1:2" s="48" customFormat="1" ht="12.75">
      <c r="A172" s="325"/>
      <c r="B172" s="326"/>
    </row>
    <row r="173" spans="1:2" s="48" customFormat="1" ht="12.75">
      <c r="A173" s="325"/>
      <c r="B173" s="326"/>
    </row>
    <row r="174" spans="1:2" s="48" customFormat="1" ht="12.75">
      <c r="A174" s="325"/>
      <c r="B174" s="326"/>
    </row>
    <row r="175" spans="1:2" s="48" customFormat="1" ht="12.75">
      <c r="A175" s="325"/>
      <c r="B175" s="326"/>
    </row>
    <row r="176" spans="1:2" s="48" customFormat="1" ht="12.75">
      <c r="A176" s="325"/>
      <c r="B176" s="326"/>
    </row>
    <row r="177" spans="1:2" s="48" customFormat="1" ht="12.75">
      <c r="A177" s="325"/>
      <c r="B177" s="326"/>
    </row>
    <row r="178" spans="1:2" s="48" customFormat="1" ht="12.75">
      <c r="A178" s="325"/>
      <c r="B178" s="326"/>
    </row>
    <row r="179" spans="1:2" s="48" customFormat="1" ht="12.75">
      <c r="A179" s="325"/>
      <c r="B179" s="326"/>
    </row>
    <row r="180" spans="1:2" s="48" customFormat="1" ht="12.75">
      <c r="A180" s="325"/>
      <c r="B180" s="326"/>
    </row>
    <row r="181" spans="1:2" s="48" customFormat="1" ht="12.75">
      <c r="A181" s="325"/>
      <c r="B181" s="326"/>
    </row>
    <row r="182" spans="1:2" s="48" customFormat="1" ht="12.75">
      <c r="A182" s="325"/>
      <c r="B182" s="326"/>
    </row>
    <row r="183" spans="1:2" s="48" customFormat="1" ht="12.75">
      <c r="A183" s="325"/>
      <c r="B183" s="326"/>
    </row>
    <row r="184" spans="1:2" s="48" customFormat="1" ht="12.75">
      <c r="A184" s="325"/>
      <c r="B184" s="326"/>
    </row>
    <row r="185" spans="1:2" s="48" customFormat="1" ht="12.75">
      <c r="A185" s="325"/>
      <c r="B185" s="326"/>
    </row>
    <row r="186" spans="1:2" s="48" customFormat="1" ht="12.75">
      <c r="A186" s="325"/>
      <c r="B186" s="326"/>
    </row>
    <row r="187" spans="1:2" s="48" customFormat="1" ht="12.75">
      <c r="A187" s="325"/>
      <c r="B187" s="326"/>
    </row>
    <row r="188" spans="1:2" s="48" customFormat="1" ht="12.75">
      <c r="A188" s="325"/>
      <c r="B188" s="326"/>
    </row>
    <row r="189" spans="1:2" s="48" customFormat="1" ht="12.75">
      <c r="A189" s="325"/>
      <c r="B189" s="326"/>
    </row>
    <row r="190" spans="1:2" s="48" customFormat="1" ht="12.75">
      <c r="A190" s="325"/>
      <c r="B190" s="326"/>
    </row>
    <row r="191" spans="1:2" s="48" customFormat="1" ht="12.75">
      <c r="A191" s="325"/>
      <c r="B191" s="326"/>
    </row>
    <row r="192" spans="1:2" s="48" customFormat="1" ht="12.75">
      <c r="A192" s="325"/>
      <c r="B192" s="326"/>
    </row>
    <row r="193" spans="1:2" s="48" customFormat="1" ht="12.75">
      <c r="A193" s="325"/>
      <c r="B193" s="326"/>
    </row>
    <row r="194" spans="1:2" s="48" customFormat="1" ht="12.75">
      <c r="A194" s="325"/>
      <c r="B194" s="326"/>
    </row>
    <row r="195" spans="1:2" s="48" customFormat="1" ht="12.75">
      <c r="A195" s="325"/>
      <c r="B195" s="326"/>
    </row>
    <row r="196" spans="1:2" s="48" customFormat="1" ht="12.75">
      <c r="A196" s="325"/>
      <c r="B196" s="326"/>
    </row>
    <row r="197" spans="1:2" s="48" customFormat="1" ht="12.75">
      <c r="A197" s="325"/>
      <c r="B197" s="326"/>
    </row>
    <row r="198" spans="1:2" s="48" customFormat="1" ht="12.75">
      <c r="A198" s="325"/>
      <c r="B198" s="326"/>
    </row>
    <row r="199" spans="1:2" s="48" customFormat="1" ht="12.75">
      <c r="A199" s="325"/>
      <c r="B199" s="326"/>
    </row>
    <row r="200" spans="1:2" s="48" customFormat="1" ht="12.75">
      <c r="A200" s="325"/>
      <c r="B200" s="326"/>
    </row>
    <row r="201" spans="1:2" s="48" customFormat="1" ht="12.75">
      <c r="A201" s="325"/>
      <c r="B201" s="326"/>
    </row>
    <row r="202" spans="1:2" s="48" customFormat="1" ht="12.75">
      <c r="A202" s="325"/>
      <c r="B202" s="326"/>
    </row>
    <row r="203" spans="1:2" s="48" customFormat="1" ht="12.75">
      <c r="A203" s="325"/>
      <c r="B203" s="326"/>
    </row>
    <row r="204" spans="1:2" s="48" customFormat="1" ht="12.75">
      <c r="A204" s="325"/>
      <c r="B204" s="326"/>
    </row>
    <row r="205" spans="1:2" s="48" customFormat="1" ht="12.75">
      <c r="A205" s="325"/>
      <c r="B205" s="326"/>
    </row>
    <row r="206" spans="1:2" s="48" customFormat="1" ht="12.75">
      <c r="A206" s="325"/>
      <c r="B206" s="326"/>
    </row>
    <row r="207" spans="1:2" s="48" customFormat="1" ht="12.75">
      <c r="A207" s="325"/>
      <c r="B207" s="326"/>
    </row>
    <row r="208" spans="1:2" s="48" customFormat="1" ht="12.75">
      <c r="A208" s="325"/>
      <c r="B208" s="326"/>
    </row>
    <row r="209" spans="1:2" s="48" customFormat="1" ht="12.75">
      <c r="A209" s="325"/>
      <c r="B209" s="326"/>
    </row>
    <row r="210" spans="1:2" s="48" customFormat="1" ht="12.75">
      <c r="A210" s="325"/>
      <c r="B210" s="326"/>
    </row>
    <row r="211" spans="1:2" s="48" customFormat="1" ht="12.75">
      <c r="A211" s="325"/>
      <c r="B211" s="326"/>
    </row>
    <row r="212" spans="1:2" s="48" customFormat="1" ht="12.75">
      <c r="A212" s="325"/>
      <c r="B212" s="326"/>
    </row>
    <row r="213" spans="1:2" s="48" customFormat="1" ht="12.75">
      <c r="A213" s="325"/>
      <c r="B213" s="326"/>
    </row>
    <row r="214" spans="1:2" s="48" customFormat="1" ht="12.75">
      <c r="A214" s="325"/>
      <c r="B214" s="326"/>
    </row>
    <row r="215" spans="1:2" s="48" customFormat="1" ht="12.75">
      <c r="A215" s="325"/>
      <c r="B215" s="326"/>
    </row>
    <row r="216" spans="1:2" s="48" customFormat="1" ht="12.75">
      <c r="A216" s="325"/>
      <c r="B216" s="326"/>
    </row>
    <row r="217" spans="1:2" s="48" customFormat="1" ht="12.75">
      <c r="A217" s="325"/>
      <c r="B217" s="326"/>
    </row>
    <row r="218" spans="1:2" s="48" customFormat="1" ht="12.75">
      <c r="A218" s="325"/>
      <c r="B218" s="326"/>
    </row>
    <row r="219" spans="1:2" s="48" customFormat="1" ht="12.75">
      <c r="A219" s="325"/>
      <c r="B219" s="326"/>
    </row>
    <row r="220" spans="1:2" s="48" customFormat="1" ht="12.75">
      <c r="A220" s="325"/>
      <c r="B220" s="326"/>
    </row>
    <row r="221" spans="1:2" s="48" customFormat="1" ht="12.75">
      <c r="A221" s="325"/>
      <c r="B221" s="326"/>
    </row>
    <row r="222" spans="1:2" s="48" customFormat="1" ht="12.75">
      <c r="A222" s="325"/>
      <c r="B222" s="326"/>
    </row>
    <row r="223" spans="1:2" s="48" customFormat="1" ht="12.75">
      <c r="A223" s="325"/>
      <c r="B223" s="326"/>
    </row>
    <row r="224" spans="1:2" s="48" customFormat="1" ht="12.75">
      <c r="A224" s="325"/>
      <c r="B224" s="326"/>
    </row>
    <row r="225" spans="1:2" s="48" customFormat="1" ht="12.75">
      <c r="A225" s="325"/>
      <c r="B225" s="326"/>
    </row>
    <row r="226" spans="1:2" s="48" customFormat="1" ht="12.75">
      <c r="A226" s="325"/>
      <c r="B226" s="326"/>
    </row>
    <row r="227" spans="1:2" s="48" customFormat="1" ht="12.75">
      <c r="A227" s="325"/>
      <c r="B227" s="326"/>
    </row>
    <row r="228" spans="1:2" s="48" customFormat="1" ht="12.75">
      <c r="A228" s="325"/>
      <c r="B228" s="326"/>
    </row>
    <row r="229" spans="1:2" s="48" customFormat="1" ht="12.75">
      <c r="A229" s="325"/>
      <c r="B229" s="326"/>
    </row>
    <row r="230" spans="1:2" s="48" customFormat="1" ht="12.75">
      <c r="A230" s="325"/>
      <c r="B230" s="326"/>
    </row>
    <row r="231" spans="1:2" s="48" customFormat="1" ht="12.75">
      <c r="A231" s="325"/>
      <c r="B231" s="326"/>
    </row>
    <row r="232" spans="1:2" s="48" customFormat="1" ht="12.75">
      <c r="A232" s="325"/>
      <c r="B232" s="326"/>
    </row>
    <row r="233" spans="1:2" s="48" customFormat="1" ht="12.75">
      <c r="A233" s="325"/>
      <c r="B233" s="326"/>
    </row>
    <row r="234" spans="1:2" s="48" customFormat="1" ht="12.75">
      <c r="A234" s="325"/>
      <c r="B234" s="326"/>
    </row>
    <row r="235" spans="1:2" s="48" customFormat="1" ht="12.75">
      <c r="A235" s="325"/>
      <c r="B235" s="326"/>
    </row>
    <row r="236" spans="1:2" s="48" customFormat="1" ht="12.75">
      <c r="A236" s="325"/>
      <c r="B236" s="326"/>
    </row>
    <row r="237" spans="1:2" s="48" customFormat="1" ht="12.75">
      <c r="A237" s="325"/>
      <c r="B237" s="326"/>
    </row>
    <row r="238" spans="1:2" s="48" customFormat="1" ht="12.75">
      <c r="A238" s="325"/>
      <c r="B238" s="326"/>
    </row>
    <row r="239" spans="1:2" s="48" customFormat="1" ht="12.75">
      <c r="A239" s="325"/>
      <c r="B239" s="326"/>
    </row>
    <row r="240" spans="1:2" s="48" customFormat="1" ht="12.75">
      <c r="A240" s="325"/>
      <c r="B240" s="326"/>
    </row>
    <row r="241" spans="1:2" s="48" customFormat="1" ht="12.75">
      <c r="A241" s="325"/>
      <c r="B241" s="326"/>
    </row>
    <row r="242" spans="1:2" s="48" customFormat="1" ht="12.75">
      <c r="A242" s="325"/>
      <c r="B242" s="326"/>
    </row>
    <row r="243" spans="1:2" s="48" customFormat="1" ht="12.75">
      <c r="A243" s="325"/>
      <c r="B243" s="326"/>
    </row>
    <row r="244" spans="1:2" s="48" customFormat="1" ht="12.75">
      <c r="A244" s="325"/>
      <c r="B244" s="326"/>
    </row>
    <row r="245" spans="1:2" s="48" customFormat="1" ht="12.75">
      <c r="A245" s="325"/>
      <c r="B245" s="326"/>
    </row>
    <row r="246" spans="1:2" s="48" customFormat="1" ht="12.75">
      <c r="A246" s="325"/>
      <c r="B246" s="326"/>
    </row>
    <row r="247" spans="1:2" s="48" customFormat="1" ht="12.75">
      <c r="A247" s="325"/>
      <c r="B247" s="326"/>
    </row>
    <row r="248" spans="1:2" s="48" customFormat="1" ht="12.75">
      <c r="A248" s="325"/>
      <c r="B248" s="326"/>
    </row>
    <row r="249" spans="1:2" s="48" customFormat="1" ht="12.75">
      <c r="A249" s="325"/>
      <c r="B249" s="326"/>
    </row>
    <row r="250" spans="1:2" s="48" customFormat="1" ht="12.75">
      <c r="A250" s="325"/>
      <c r="B250" s="326"/>
    </row>
    <row r="251" spans="1:2" s="48" customFormat="1" ht="12.75">
      <c r="A251" s="325"/>
      <c r="B251" s="326"/>
    </row>
    <row r="252" spans="1:2" s="48" customFormat="1" ht="12.75">
      <c r="A252" s="325"/>
      <c r="B252" s="326"/>
    </row>
    <row r="253" spans="1:2" s="48" customFormat="1" ht="12.75">
      <c r="A253" s="325"/>
      <c r="B253" s="326"/>
    </row>
    <row r="254" spans="1:2" s="48" customFormat="1" ht="12.75">
      <c r="A254" s="325"/>
      <c r="B254" s="326"/>
    </row>
    <row r="255" spans="1:2" s="48" customFormat="1" ht="12.75">
      <c r="A255" s="325"/>
      <c r="B255" s="326"/>
    </row>
    <row r="256" spans="1:2" s="48" customFormat="1" ht="12.75">
      <c r="A256" s="325"/>
      <c r="B256" s="326"/>
    </row>
    <row r="257" spans="1:2" s="48" customFormat="1" ht="12.75">
      <c r="A257" s="325"/>
      <c r="B257" s="326"/>
    </row>
    <row r="258" spans="1:2" s="48" customFormat="1" ht="12.75">
      <c r="A258" s="325"/>
      <c r="B258" s="326"/>
    </row>
    <row r="259" spans="1:2" s="48" customFormat="1" ht="12.75">
      <c r="A259" s="325"/>
      <c r="B259" s="326"/>
    </row>
    <row r="260" spans="1:2" s="48" customFormat="1" ht="12.75">
      <c r="A260" s="325"/>
      <c r="B260" s="326"/>
    </row>
    <row r="261" spans="1:2" s="48" customFormat="1" ht="12.75">
      <c r="A261" s="325"/>
      <c r="B261" s="326"/>
    </row>
    <row r="262" spans="1:2" s="48" customFormat="1" ht="12.75">
      <c r="A262" s="325"/>
      <c r="B262" s="326"/>
    </row>
    <row r="263" spans="1:2" s="48" customFormat="1" ht="12.75">
      <c r="A263" s="325"/>
      <c r="B263" s="326"/>
    </row>
    <row r="264" spans="1:2" s="48" customFormat="1" ht="12.75">
      <c r="A264" s="325"/>
      <c r="B264" s="326"/>
    </row>
    <row r="265" s="48" customFormat="1" ht="12.75">
      <c r="A265" s="325"/>
    </row>
    <row r="266" s="48" customFormat="1" ht="12.75">
      <c r="A266" s="325"/>
    </row>
    <row r="267" s="48" customFormat="1" ht="12.75">
      <c r="A267" s="325"/>
    </row>
    <row r="268" s="48" customFormat="1" ht="12.75">
      <c r="A268" s="325"/>
    </row>
    <row r="269" s="48" customFormat="1" ht="12.75">
      <c r="A269" s="325"/>
    </row>
    <row r="270" s="48" customFormat="1" ht="12.75">
      <c r="A270" s="325"/>
    </row>
    <row r="271" s="48" customFormat="1" ht="12.75">
      <c r="A271" s="325"/>
    </row>
    <row r="272" s="48" customFormat="1" ht="12.75">
      <c r="A272" s="325"/>
    </row>
    <row r="273" s="48" customFormat="1" ht="12.75">
      <c r="A273" s="325"/>
    </row>
    <row r="274" s="48" customFormat="1" ht="12.75">
      <c r="A274" s="325"/>
    </row>
    <row r="275" s="48" customFormat="1" ht="12.75">
      <c r="A275" s="325"/>
    </row>
    <row r="276" s="48" customFormat="1" ht="12.75">
      <c r="A276" s="325"/>
    </row>
    <row r="277" s="48" customFormat="1" ht="12.75">
      <c r="A277" s="325"/>
    </row>
    <row r="278" s="48" customFormat="1" ht="12.75">
      <c r="A278" s="325"/>
    </row>
    <row r="279" s="48" customFormat="1" ht="12.75">
      <c r="A279" s="325"/>
    </row>
    <row r="280" s="48" customFormat="1" ht="12.75">
      <c r="A280" s="325"/>
    </row>
    <row r="281" s="48" customFormat="1" ht="12.75">
      <c r="A281" s="325"/>
    </row>
    <row r="282" s="48" customFormat="1" ht="12.75">
      <c r="A282" s="325"/>
    </row>
    <row r="283" s="48" customFormat="1" ht="12.75">
      <c r="A283" s="325"/>
    </row>
    <row r="284" s="48" customFormat="1" ht="12.75">
      <c r="A284" s="325"/>
    </row>
    <row r="285" s="48" customFormat="1" ht="12.75">
      <c r="A285" s="325"/>
    </row>
    <row r="286" s="48" customFormat="1" ht="12.75">
      <c r="A286" s="325"/>
    </row>
    <row r="287" s="48" customFormat="1" ht="12.75">
      <c r="A287" s="325"/>
    </row>
    <row r="288" s="48" customFormat="1" ht="12.75">
      <c r="A288" s="325"/>
    </row>
    <row r="289" s="48" customFormat="1" ht="12.75">
      <c r="A289" s="325"/>
    </row>
    <row r="290" s="48" customFormat="1" ht="12.75">
      <c r="A290" s="325"/>
    </row>
    <row r="291" s="48" customFormat="1" ht="12.75">
      <c r="A291" s="325"/>
    </row>
    <row r="292" s="48" customFormat="1" ht="12.75">
      <c r="A292" s="325"/>
    </row>
    <row r="293" s="48" customFormat="1" ht="12.75">
      <c r="A293" s="325"/>
    </row>
    <row r="294" s="48" customFormat="1" ht="12.75">
      <c r="A294" s="325"/>
    </row>
    <row r="295" s="48" customFormat="1" ht="12.75">
      <c r="A295" s="325"/>
    </row>
    <row r="296" s="48" customFormat="1" ht="12.75">
      <c r="A296" s="325"/>
    </row>
    <row r="297" s="48" customFormat="1" ht="12.75">
      <c r="A297" s="325"/>
    </row>
    <row r="298" s="48" customFormat="1" ht="12.75">
      <c r="A298" s="325"/>
    </row>
    <row r="299" s="48" customFormat="1" ht="12.75">
      <c r="A299" s="325"/>
    </row>
    <row r="300" s="48" customFormat="1" ht="12.75">
      <c r="A300" s="325"/>
    </row>
    <row r="301" s="48" customFormat="1" ht="12.75">
      <c r="A301" s="325"/>
    </row>
    <row r="302" s="48" customFormat="1" ht="12.75">
      <c r="A302" s="325"/>
    </row>
    <row r="303" s="48" customFormat="1" ht="12.75">
      <c r="A303" s="325"/>
    </row>
    <row r="304" s="48" customFormat="1" ht="12.75">
      <c r="A304" s="325"/>
    </row>
    <row r="305" s="48" customFormat="1" ht="12.75">
      <c r="A305" s="325"/>
    </row>
    <row r="306" s="48" customFormat="1" ht="12.75">
      <c r="A306" s="325"/>
    </row>
    <row r="307" s="48" customFormat="1" ht="12.75">
      <c r="A307" s="325"/>
    </row>
    <row r="308" s="48" customFormat="1" ht="12.75">
      <c r="A308" s="325"/>
    </row>
    <row r="309" s="48" customFormat="1" ht="12.75">
      <c r="A309" s="325"/>
    </row>
    <row r="310" s="48" customFormat="1" ht="12.75">
      <c r="A310" s="325"/>
    </row>
    <row r="311" s="48" customFormat="1" ht="12.75">
      <c r="A311" s="325"/>
    </row>
    <row r="312" s="48" customFormat="1" ht="12.75">
      <c r="A312" s="325"/>
    </row>
    <row r="313" s="48" customFormat="1" ht="12.75">
      <c r="A313" s="325"/>
    </row>
    <row r="314" s="48" customFormat="1" ht="12.75">
      <c r="A314" s="325"/>
    </row>
    <row r="315" s="48" customFormat="1" ht="12.75">
      <c r="A315" s="325"/>
    </row>
    <row r="316" s="48" customFormat="1" ht="12.75">
      <c r="A316" s="325"/>
    </row>
    <row r="317" s="48" customFormat="1" ht="12.75">
      <c r="A317" s="325"/>
    </row>
    <row r="318" s="48" customFormat="1" ht="12.75">
      <c r="A318" s="325"/>
    </row>
    <row r="319" s="48" customFormat="1" ht="12.75">
      <c r="A319" s="325"/>
    </row>
    <row r="320" s="48" customFormat="1" ht="12.75">
      <c r="A320" s="325"/>
    </row>
    <row r="321" s="48" customFormat="1" ht="12.75">
      <c r="A321" s="325"/>
    </row>
    <row r="322" s="48" customFormat="1" ht="12.75">
      <c r="A322" s="325"/>
    </row>
    <row r="323" s="48" customFormat="1" ht="12.75">
      <c r="A323" s="325"/>
    </row>
    <row r="324" s="48" customFormat="1" ht="12.75">
      <c r="A324" s="325"/>
    </row>
    <row r="325" s="48" customFormat="1" ht="12.75">
      <c r="A325" s="325"/>
    </row>
    <row r="326" s="48" customFormat="1" ht="12.75">
      <c r="A326" s="325"/>
    </row>
    <row r="327" s="48" customFormat="1" ht="12.75">
      <c r="A327" s="325"/>
    </row>
    <row r="328" s="48" customFormat="1" ht="12.75">
      <c r="A328" s="325"/>
    </row>
    <row r="329" s="48" customFormat="1" ht="12.75">
      <c r="A329" s="325"/>
    </row>
    <row r="330" s="48" customFormat="1" ht="12.75">
      <c r="A330" s="325"/>
    </row>
    <row r="331" s="48" customFormat="1" ht="12.75">
      <c r="A331" s="325"/>
    </row>
    <row r="332" s="48" customFormat="1" ht="12.75">
      <c r="A332" s="325"/>
    </row>
    <row r="333" s="48" customFormat="1" ht="12.75">
      <c r="A333" s="325"/>
    </row>
    <row r="334" s="48" customFormat="1" ht="12.75">
      <c r="A334" s="325"/>
    </row>
    <row r="335" s="48" customFormat="1" ht="12.75">
      <c r="A335" s="325"/>
    </row>
    <row r="336" s="48" customFormat="1" ht="12.75">
      <c r="A336" s="325"/>
    </row>
    <row r="337" s="48" customFormat="1" ht="12.75">
      <c r="A337" s="325"/>
    </row>
    <row r="338" s="48" customFormat="1" ht="12.75">
      <c r="A338" s="325"/>
    </row>
    <row r="339" s="48" customFormat="1" ht="12.75">
      <c r="A339" s="325"/>
    </row>
    <row r="340" s="48" customFormat="1" ht="12.75">
      <c r="A340" s="325"/>
    </row>
    <row r="341" s="48" customFormat="1" ht="12.75">
      <c r="A341" s="325"/>
    </row>
    <row r="342" s="48" customFormat="1" ht="12.75">
      <c r="A342" s="325"/>
    </row>
    <row r="343" s="48" customFormat="1" ht="12.75">
      <c r="A343" s="325"/>
    </row>
    <row r="344" s="48" customFormat="1" ht="12.75">
      <c r="A344" s="325"/>
    </row>
    <row r="345" s="48" customFormat="1" ht="12.75">
      <c r="A345" s="325"/>
    </row>
    <row r="346" s="48" customFormat="1" ht="12.75">
      <c r="A346" s="325"/>
    </row>
    <row r="347" s="48" customFormat="1" ht="12.75">
      <c r="A347" s="325"/>
    </row>
    <row r="348" s="48" customFormat="1" ht="12.75">
      <c r="A348" s="325"/>
    </row>
    <row r="349" s="48" customFormat="1" ht="12.75">
      <c r="A349" s="325"/>
    </row>
    <row r="350" s="48" customFormat="1" ht="12.75">
      <c r="A350" s="325"/>
    </row>
    <row r="351" ht="12.75">
      <c r="A351" s="327"/>
    </row>
    <row r="352" ht="12.75">
      <c r="A352" s="327"/>
    </row>
    <row r="353" ht="12.75">
      <c r="A353" s="327"/>
    </row>
    <row r="354" ht="12.75">
      <c r="A354" s="327"/>
    </row>
    <row r="355" ht="12.75">
      <c r="A355" s="327"/>
    </row>
    <row r="356" ht="12.75">
      <c r="A356" s="327"/>
    </row>
    <row r="357" ht="12.75">
      <c r="A357" s="327"/>
    </row>
    <row r="358" ht="12.75">
      <c r="A358" s="327"/>
    </row>
    <row r="359" ht="12.75">
      <c r="A359" s="327"/>
    </row>
    <row r="360" ht="12.75">
      <c r="A360" s="327"/>
    </row>
    <row r="361" ht="12.75">
      <c r="A361" s="327"/>
    </row>
    <row r="362" ht="12.75">
      <c r="A362" s="327"/>
    </row>
    <row r="363" ht="12.75">
      <c r="A363" s="327"/>
    </row>
    <row r="364" ht="12.75">
      <c r="A364" s="327"/>
    </row>
    <row r="365" ht="12.75">
      <c r="A365" s="327"/>
    </row>
    <row r="366" ht="12.75">
      <c r="A366" s="327"/>
    </row>
    <row r="367" ht="12.75">
      <c r="A367" s="327"/>
    </row>
    <row r="368" ht="12.75">
      <c r="A368" s="327"/>
    </row>
  </sheetData>
  <sheetProtection/>
  <printOptions horizontalCentered="1"/>
  <pageMargins left="0.52" right="0.51" top="0.58" bottom="0.59" header="0.39" footer="0.39"/>
  <pageSetup horizontalDpi="120" verticalDpi="120" orientation="portrait" paperSize="9"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codeName="Munka40">
    <tabColor indexed="11"/>
  </sheetPr>
  <dimension ref="A1:O17"/>
  <sheetViews>
    <sheetView workbookViewId="0" topLeftCell="A1">
      <selection activeCell="D19" sqref="D19"/>
    </sheetView>
  </sheetViews>
  <sheetFormatPr defaultColWidth="9.00390625" defaultRowHeight="12.75"/>
  <cols>
    <col min="1" max="1" width="19.25390625" style="388" customWidth="1"/>
    <col min="2" max="15" width="11.75390625" style="388" customWidth="1"/>
    <col min="16" max="16384" width="9.125" style="388" customWidth="1"/>
  </cols>
  <sheetData>
    <row r="1" spans="1:14" s="528" customFormat="1" ht="11.25">
      <c r="A1" s="387" t="str">
        <f>'I.A.1'!A1</f>
        <v>Komáromi Távhő Kft</v>
      </c>
      <c r="B1" s="527"/>
      <c r="C1" s="527"/>
      <c r="D1" s="527"/>
      <c r="F1" s="471"/>
      <c r="N1" s="389" t="str">
        <f>'I.A.1'!R1</f>
        <v>Kiegészítő melléklet 2016. december 31.Hőszolgáltatás </v>
      </c>
    </row>
    <row r="2" spans="2:14" s="528" customFormat="1" ht="14.25" customHeight="1">
      <c r="B2" s="529"/>
      <c r="C2" s="529"/>
      <c r="D2" s="529"/>
      <c r="E2" s="529"/>
      <c r="F2" s="529"/>
      <c r="G2" s="529"/>
      <c r="H2" s="529"/>
      <c r="I2" s="529"/>
      <c r="J2" s="529"/>
      <c r="K2" s="529"/>
      <c r="L2" s="529"/>
      <c r="M2" s="529"/>
      <c r="N2" s="737" t="str">
        <f>'II.D'!E2</f>
        <v>II. Tájékoztató kiegészítések</v>
      </c>
    </row>
    <row r="3" spans="1:15" s="528" customFormat="1" ht="14.25" customHeight="1">
      <c r="A3" s="411" t="str">
        <f>'I.A.1'!A3</f>
        <v>A közzétett adatokat könyvvizsgáló ellenőrizte</v>
      </c>
      <c r="B3" s="529"/>
      <c r="C3" s="529"/>
      <c r="D3" s="529"/>
      <c r="E3" s="529"/>
      <c r="F3" s="529"/>
      <c r="G3" s="529"/>
      <c r="H3" s="529"/>
      <c r="I3" s="529"/>
      <c r="J3" s="529"/>
      <c r="K3" s="529"/>
      <c r="L3" s="529"/>
      <c r="M3" s="529"/>
      <c r="N3" s="529"/>
      <c r="O3" s="738"/>
    </row>
    <row r="4" spans="1:7" s="372" customFormat="1" ht="14.25" customHeight="1">
      <c r="A4" s="530"/>
      <c r="B4" s="531"/>
      <c r="C4" s="531"/>
      <c r="D4" s="531"/>
      <c r="E4" s="531"/>
      <c r="F4" s="531"/>
      <c r="G4" s="531"/>
    </row>
    <row r="5" spans="1:15" ht="18">
      <c r="A5" s="532" t="s">
        <v>848</v>
      </c>
      <c r="B5" s="393"/>
      <c r="C5" s="393"/>
      <c r="D5" s="393"/>
      <c r="E5" s="393"/>
      <c r="F5" s="393"/>
      <c r="G5" s="393"/>
      <c r="H5" s="393"/>
      <c r="I5" s="393"/>
      <c r="J5" s="393"/>
      <c r="K5" s="393"/>
      <c r="L5" s="393"/>
      <c r="M5" s="393"/>
      <c r="N5" s="393"/>
      <c r="O5" s="393"/>
    </row>
    <row r="8" spans="1:12" s="398" customFormat="1" ht="13.5" thickBot="1">
      <c r="A8" s="562" t="s">
        <v>946</v>
      </c>
      <c r="B8" s="563"/>
      <c r="C8" s="563"/>
      <c r="D8" s="563"/>
      <c r="E8" s="563"/>
      <c r="F8" s="563"/>
      <c r="G8" s="563"/>
      <c r="H8" s="563"/>
      <c r="I8" s="405"/>
      <c r="J8" s="405"/>
      <c r="K8" s="405"/>
      <c r="L8" s="405"/>
    </row>
    <row r="9" spans="1:14" s="398" customFormat="1" ht="12.75">
      <c r="A9" s="2253" t="s">
        <v>917</v>
      </c>
      <c r="B9" s="2254"/>
      <c r="C9" s="2259" t="s">
        <v>918</v>
      </c>
      <c r="D9" s="2259"/>
      <c r="E9" s="2259"/>
      <c r="F9" s="2259"/>
      <c r="G9" s="2259"/>
      <c r="H9" s="2260"/>
      <c r="I9" s="2261" t="s">
        <v>919</v>
      </c>
      <c r="J9" s="2261"/>
      <c r="K9" s="2261"/>
      <c r="L9" s="2261"/>
      <c r="M9" s="2261"/>
      <c r="N9" s="2262"/>
    </row>
    <row r="10" spans="1:14" ht="12.75">
      <c r="A10" s="2255"/>
      <c r="B10" s="2256"/>
      <c r="C10" s="533" t="s">
        <v>603</v>
      </c>
      <c r="D10" s="533" t="s">
        <v>604</v>
      </c>
      <c r="E10" s="533" t="s">
        <v>605</v>
      </c>
      <c r="F10" s="2263" t="s">
        <v>921</v>
      </c>
      <c r="G10" s="2263"/>
      <c r="H10" s="2264" t="s">
        <v>922</v>
      </c>
      <c r="I10" s="564" t="s">
        <v>603</v>
      </c>
      <c r="J10" s="533" t="s">
        <v>604</v>
      </c>
      <c r="K10" s="533" t="s">
        <v>605</v>
      </c>
      <c r="L10" s="2263" t="s">
        <v>921</v>
      </c>
      <c r="M10" s="2263"/>
      <c r="N10" s="2264" t="s">
        <v>922</v>
      </c>
    </row>
    <row r="11" spans="1:14" ht="13.5" thickBot="1">
      <c r="A11" s="2257"/>
      <c r="B11" s="2258"/>
      <c r="C11" s="535"/>
      <c r="D11" s="535"/>
      <c r="E11" s="535"/>
      <c r="F11" s="536" t="s">
        <v>604</v>
      </c>
      <c r="G11" s="536" t="s">
        <v>605</v>
      </c>
      <c r="H11" s="2265"/>
      <c r="I11" s="565"/>
      <c r="J11" s="535"/>
      <c r="K11" s="535"/>
      <c r="L11" s="536" t="s">
        <v>604</v>
      </c>
      <c r="M11" s="536" t="s">
        <v>605</v>
      </c>
      <c r="N11" s="2265"/>
    </row>
    <row r="12" spans="1:14" ht="30" customHeight="1">
      <c r="A12" s="566"/>
      <c r="B12" s="550"/>
      <c r="C12" s="544"/>
      <c r="D12" s="544"/>
      <c r="E12" s="544"/>
      <c r="F12" s="544"/>
      <c r="G12" s="544"/>
      <c r="H12" s="1744">
        <f>SUM(C12:G12)</f>
        <v>0</v>
      </c>
      <c r="I12" s="567"/>
      <c r="J12" s="544"/>
      <c r="K12" s="544"/>
      <c r="L12" s="544"/>
      <c r="M12" s="544"/>
      <c r="N12" s="1744">
        <f>SUM(I12:M12)</f>
        <v>0</v>
      </c>
    </row>
    <row r="13" spans="1:14" ht="30" customHeight="1">
      <c r="A13" s="443"/>
      <c r="B13" s="550"/>
      <c r="C13" s="544"/>
      <c r="D13" s="544"/>
      <c r="E13" s="544"/>
      <c r="F13" s="544"/>
      <c r="G13" s="544"/>
      <c r="H13" s="1744">
        <f>SUM(C13:G13)</f>
        <v>0</v>
      </c>
      <c r="I13" s="567"/>
      <c r="J13" s="544"/>
      <c r="K13" s="544"/>
      <c r="L13" s="544"/>
      <c r="M13" s="544"/>
      <c r="N13" s="1744">
        <f>SUM(I13:M13)</f>
        <v>0</v>
      </c>
    </row>
    <row r="14" spans="1:14" ht="30" customHeight="1">
      <c r="A14" s="443"/>
      <c r="B14" s="550"/>
      <c r="C14" s="544"/>
      <c r="D14" s="544"/>
      <c r="E14" s="544"/>
      <c r="F14" s="544"/>
      <c r="G14" s="544"/>
      <c r="H14" s="1744">
        <f>SUM(C14:G14)</f>
        <v>0</v>
      </c>
      <c r="I14" s="567"/>
      <c r="J14" s="544"/>
      <c r="K14" s="544"/>
      <c r="L14" s="544"/>
      <c r="M14" s="544"/>
      <c r="N14" s="1744">
        <f>SUM(I14:M14)</f>
        <v>0</v>
      </c>
    </row>
    <row r="15" spans="1:14" ht="30" customHeight="1">
      <c r="A15" s="443"/>
      <c r="B15" s="550"/>
      <c r="C15" s="544"/>
      <c r="D15" s="544"/>
      <c r="E15" s="544"/>
      <c r="F15" s="544"/>
      <c r="G15" s="544"/>
      <c r="H15" s="1744">
        <f>SUM(C15:G15)</f>
        <v>0</v>
      </c>
      <c r="I15" s="567"/>
      <c r="J15" s="544"/>
      <c r="K15" s="544"/>
      <c r="L15" s="544"/>
      <c r="M15" s="544"/>
      <c r="N15" s="1744">
        <f>SUM(I15:M15)</f>
        <v>0</v>
      </c>
    </row>
    <row r="16" spans="1:14" ht="30" customHeight="1" thickBot="1">
      <c r="A16" s="568"/>
      <c r="B16" s="569"/>
      <c r="C16" s="552"/>
      <c r="D16" s="552"/>
      <c r="E16" s="552"/>
      <c r="F16" s="552"/>
      <c r="G16" s="552"/>
      <c r="H16" s="1745">
        <f>SUM(C16:G16)</f>
        <v>0</v>
      </c>
      <c r="I16" s="570"/>
      <c r="J16" s="552"/>
      <c r="K16" s="552"/>
      <c r="L16" s="552"/>
      <c r="M16" s="552"/>
      <c r="N16" s="1745">
        <f>SUM(I16:M16)</f>
        <v>0</v>
      </c>
    </row>
    <row r="17" spans="1:14" ht="30" customHeight="1" thickBot="1">
      <c r="A17" s="556" t="s">
        <v>1046</v>
      </c>
      <c r="B17" s="557"/>
      <c r="C17" s="1747">
        <f aca="true" t="shared" si="0" ref="C17:N17">SUM(C12:C16)</f>
        <v>0</v>
      </c>
      <c r="D17" s="1747">
        <f t="shared" si="0"/>
        <v>0</v>
      </c>
      <c r="E17" s="1747">
        <f t="shared" si="0"/>
        <v>0</v>
      </c>
      <c r="F17" s="1747">
        <f t="shared" si="0"/>
        <v>0</v>
      </c>
      <c r="G17" s="1747">
        <f t="shared" si="0"/>
        <v>0</v>
      </c>
      <c r="H17" s="1746">
        <f t="shared" si="0"/>
        <v>0</v>
      </c>
      <c r="I17" s="1748">
        <f t="shared" si="0"/>
        <v>0</v>
      </c>
      <c r="J17" s="1747">
        <f t="shared" si="0"/>
        <v>0</v>
      </c>
      <c r="K17" s="1747">
        <f t="shared" si="0"/>
        <v>0</v>
      </c>
      <c r="L17" s="1747">
        <f t="shared" si="0"/>
        <v>0</v>
      </c>
      <c r="M17" s="1747">
        <f t="shared" si="0"/>
        <v>0</v>
      </c>
      <c r="N17" s="1746">
        <f t="shared" si="0"/>
        <v>0</v>
      </c>
    </row>
  </sheetData>
  <mergeCells count="7">
    <mergeCell ref="A9:B11"/>
    <mergeCell ref="C9:H9"/>
    <mergeCell ref="I9:N9"/>
    <mergeCell ref="F10:G10"/>
    <mergeCell ref="H10:H11"/>
    <mergeCell ref="L10:M10"/>
    <mergeCell ref="N10:N11"/>
  </mergeCells>
  <printOptions horizontalCentered="1"/>
  <pageMargins left="0.3937007874015748" right="0.3937007874015748" top="0.5905511811023623" bottom="0.5905511811023623" header="0.4330708661417323" footer="0.3937007874015748"/>
  <pageSetup horizontalDpi="600" verticalDpi="600" orientation="landscape" paperSize="9" scale="81" r:id="rId1"/>
  <headerFooter alignWithMargins="0">
    <oddFooter>&amp;C&amp;P/&amp;N&amp;R&amp;A</oddFooter>
  </headerFooter>
  <colBreaks count="1" manualBreakCount="1">
    <brk id="15" max="65535" man="1"/>
  </colBreaks>
</worksheet>
</file>

<file path=xl/worksheets/sheet26.xml><?xml version="1.0" encoding="utf-8"?>
<worksheet xmlns="http://schemas.openxmlformats.org/spreadsheetml/2006/main" xmlns:r="http://schemas.openxmlformats.org/officeDocument/2006/relationships">
  <sheetPr codeName="Munka69">
    <tabColor indexed="11"/>
  </sheetPr>
  <dimension ref="A1:O25"/>
  <sheetViews>
    <sheetView workbookViewId="0" topLeftCell="A1">
      <selection activeCell="A19" sqref="A19:A20"/>
    </sheetView>
  </sheetViews>
  <sheetFormatPr defaultColWidth="9.00390625" defaultRowHeight="12.75"/>
  <cols>
    <col min="1" max="1" width="19.25390625" style="388" customWidth="1"/>
    <col min="2" max="15" width="11.75390625" style="388" customWidth="1"/>
    <col min="16" max="16384" width="9.125" style="388" customWidth="1"/>
  </cols>
  <sheetData>
    <row r="1" spans="1:9" s="528" customFormat="1" ht="11.25">
      <c r="A1" s="387" t="str">
        <f>'I.A.1'!A1</f>
        <v>Komáromi Távhő Kft</v>
      </c>
      <c r="B1" s="527"/>
      <c r="C1" s="527"/>
      <c r="D1" s="527"/>
      <c r="F1" s="471"/>
      <c r="I1" s="389" t="str">
        <f>'I.A.1'!R1</f>
        <v>Kiegészítő melléklet 2016. december 31.Hőszolgáltatás </v>
      </c>
    </row>
    <row r="2" spans="2:13" s="528" customFormat="1" ht="14.25" customHeight="1">
      <c r="B2" s="529"/>
      <c r="C2" s="529"/>
      <c r="D2" s="529"/>
      <c r="E2" s="529"/>
      <c r="F2" s="529"/>
      <c r="G2" s="529"/>
      <c r="H2" s="529"/>
      <c r="I2" s="737" t="str">
        <f>'II.D'!E2</f>
        <v>II. Tájékoztató kiegészítések</v>
      </c>
      <c r="J2" s="529"/>
      <c r="K2" s="529"/>
      <c r="L2" s="529"/>
      <c r="M2" s="529"/>
    </row>
    <row r="3" spans="1:15" s="1749" customFormat="1" ht="14.25" customHeight="1">
      <c r="A3" s="1751" t="str">
        <f>'I.A.1'!A3</f>
        <v>A közzétett adatokat könyvvizsgáló ellenőrizte</v>
      </c>
      <c r="B3" s="1752"/>
      <c r="C3" s="1752"/>
      <c r="D3" s="1752"/>
      <c r="E3" s="1752"/>
      <c r="F3" s="1752"/>
      <c r="G3" s="1752"/>
      <c r="H3" s="1752"/>
      <c r="I3" s="1752"/>
      <c r="O3" s="1750"/>
    </row>
    <row r="4" spans="1:9" s="688" customFormat="1" ht="14.25" customHeight="1">
      <c r="A4" s="1753"/>
      <c r="B4" s="1754"/>
      <c r="C4" s="1754"/>
      <c r="D4" s="1754"/>
      <c r="E4" s="1754"/>
      <c r="F4" s="1754"/>
      <c r="G4" s="1754"/>
      <c r="H4" s="1754"/>
      <c r="I4" s="1754"/>
    </row>
    <row r="5" spans="1:9" s="628" customFormat="1" ht="18">
      <c r="A5" s="1755" t="s">
        <v>848</v>
      </c>
      <c r="B5" s="1756"/>
      <c r="C5" s="1756"/>
      <c r="D5" s="1756"/>
      <c r="E5" s="1756"/>
      <c r="F5" s="1756"/>
      <c r="G5" s="1756"/>
      <c r="H5" s="1756"/>
      <c r="I5" s="1756"/>
    </row>
    <row r="7" spans="1:9" ht="13.5" thickBot="1">
      <c r="A7" s="398" t="s">
        <v>361</v>
      </c>
      <c r="I7" s="1604" t="s">
        <v>1527</v>
      </c>
    </row>
    <row r="8" spans="1:9" ht="27" customHeight="1">
      <c r="A8" s="2253" t="s">
        <v>44</v>
      </c>
      <c r="B8" s="2259" t="s">
        <v>45</v>
      </c>
      <c r="C8" s="2259"/>
      <c r="D8" s="2259" t="s">
        <v>604</v>
      </c>
      <c r="E8" s="2259"/>
      <c r="F8" s="2259" t="s">
        <v>605</v>
      </c>
      <c r="G8" s="2259"/>
      <c r="H8" s="2259" t="s">
        <v>46</v>
      </c>
      <c r="I8" s="2260"/>
    </row>
    <row r="9" spans="1:9" ht="13.5" thickBot="1">
      <c r="A9" s="2271"/>
      <c r="B9" s="460" t="s">
        <v>47</v>
      </c>
      <c r="C9" s="460" t="s">
        <v>48</v>
      </c>
      <c r="D9" s="460" t="s">
        <v>47</v>
      </c>
      <c r="E9" s="460" t="s">
        <v>48</v>
      </c>
      <c r="F9" s="460" t="s">
        <v>47</v>
      </c>
      <c r="G9" s="460" t="s">
        <v>48</v>
      </c>
      <c r="H9" s="460" t="s">
        <v>47</v>
      </c>
      <c r="I9" s="461" t="s">
        <v>48</v>
      </c>
    </row>
    <row r="10" spans="1:9" ht="15" customHeight="1" thickTop="1">
      <c r="A10" s="572"/>
      <c r="B10" s="573"/>
      <c r="C10" s="573"/>
      <c r="D10" s="573"/>
      <c r="E10" s="573"/>
      <c r="F10" s="573"/>
      <c r="G10" s="573"/>
      <c r="H10" s="573"/>
      <c r="I10" s="574"/>
    </row>
    <row r="11" spans="1:9" ht="15" customHeight="1">
      <c r="A11" s="575"/>
      <c r="B11" s="576"/>
      <c r="C11" s="576"/>
      <c r="D11" s="576"/>
      <c r="E11" s="576"/>
      <c r="F11" s="576"/>
      <c r="G11" s="576"/>
      <c r="H11" s="576"/>
      <c r="I11" s="577"/>
    </row>
    <row r="12" spans="1:9" ht="15" customHeight="1">
      <c r="A12" s="575"/>
      <c r="B12" s="576"/>
      <c r="C12" s="576"/>
      <c r="D12" s="576"/>
      <c r="E12" s="576"/>
      <c r="F12" s="576"/>
      <c r="G12" s="576"/>
      <c r="H12" s="576"/>
      <c r="I12" s="577"/>
    </row>
    <row r="13" spans="1:9" ht="15" customHeight="1">
      <c r="A13" s="575"/>
      <c r="B13" s="576"/>
      <c r="C13" s="576"/>
      <c r="D13" s="576"/>
      <c r="E13" s="576"/>
      <c r="F13" s="576"/>
      <c r="G13" s="576"/>
      <c r="H13" s="576"/>
      <c r="I13" s="577"/>
    </row>
    <row r="14" spans="1:9" ht="15" customHeight="1">
      <c r="A14" s="575"/>
      <c r="B14" s="576"/>
      <c r="C14" s="576"/>
      <c r="D14" s="576"/>
      <c r="E14" s="576"/>
      <c r="F14" s="576"/>
      <c r="G14" s="576"/>
      <c r="H14" s="576"/>
      <c r="I14" s="577"/>
    </row>
    <row r="15" spans="1:9" ht="15" customHeight="1" thickBot="1">
      <c r="A15" s="578"/>
      <c r="B15" s="579"/>
      <c r="C15" s="579"/>
      <c r="D15" s="579"/>
      <c r="E15" s="579"/>
      <c r="F15" s="579"/>
      <c r="G15" s="579"/>
      <c r="H15" s="579"/>
      <c r="I15" s="580"/>
    </row>
    <row r="18" spans="1:6" ht="13.5" thickBot="1">
      <c r="A18" s="602" t="s">
        <v>362</v>
      </c>
      <c r="B18" s="372"/>
      <c r="C18" s="372"/>
      <c r="D18" s="372"/>
      <c r="F18" s="388" t="str">
        <f>I7</f>
        <v>Adatok E Ft-ban</v>
      </c>
    </row>
    <row r="19" spans="1:7" s="521" customFormat="1" ht="39" customHeight="1">
      <c r="A19" s="2269" t="s">
        <v>101</v>
      </c>
      <c r="B19" s="2268" t="s">
        <v>1846</v>
      </c>
      <c r="C19" s="2268"/>
      <c r="D19" s="2268" t="s">
        <v>1847</v>
      </c>
      <c r="E19" s="2268"/>
      <c r="F19" s="2266" t="s">
        <v>102</v>
      </c>
      <c r="G19" s="620"/>
    </row>
    <row r="20" spans="1:6" s="521" customFormat="1" ht="12.75">
      <c r="A20" s="2270"/>
      <c r="B20" s="1514" t="s">
        <v>503</v>
      </c>
      <c r="C20" s="1514" t="s">
        <v>103</v>
      </c>
      <c r="D20" s="1514" t="s">
        <v>503</v>
      </c>
      <c r="E20" s="1514" t="s">
        <v>103</v>
      </c>
      <c r="F20" s="2267"/>
    </row>
    <row r="21" spans="1:6" s="521" customFormat="1" ht="15" customHeight="1">
      <c r="A21" s="967"/>
      <c r="B21" s="523"/>
      <c r="C21" s="523"/>
      <c r="D21" s="523"/>
      <c r="E21" s="523"/>
      <c r="F21" s="1649"/>
    </row>
    <row r="22" spans="1:6" s="521" customFormat="1" ht="15" customHeight="1">
      <c r="A22" s="967"/>
      <c r="B22" s="523"/>
      <c r="C22" s="523"/>
      <c r="D22" s="523"/>
      <c r="E22" s="523"/>
      <c r="F22" s="1649"/>
    </row>
    <row r="23" spans="1:6" s="521" customFormat="1" ht="15" customHeight="1">
      <c r="A23" s="967"/>
      <c r="B23" s="523"/>
      <c r="C23" s="523"/>
      <c r="D23" s="523"/>
      <c r="E23" s="523"/>
      <c r="F23" s="1649"/>
    </row>
    <row r="24" spans="1:6" s="521" customFormat="1" ht="15" customHeight="1">
      <c r="A24" s="967"/>
      <c r="B24" s="523"/>
      <c r="C24" s="523"/>
      <c r="D24" s="523"/>
      <c r="E24" s="523"/>
      <c r="F24" s="1649"/>
    </row>
    <row r="25" spans="1:6" s="521" customFormat="1" ht="15" customHeight="1" thickBot="1">
      <c r="A25" s="1650"/>
      <c r="B25" s="1651"/>
      <c r="C25" s="1651"/>
      <c r="D25" s="1651"/>
      <c r="E25" s="1651"/>
      <c r="F25" s="1652"/>
    </row>
  </sheetData>
  <mergeCells count="9">
    <mergeCell ref="H8:I8"/>
    <mergeCell ref="A8:A9"/>
    <mergeCell ref="B8:C8"/>
    <mergeCell ref="D8:E8"/>
    <mergeCell ref="F8:G8"/>
    <mergeCell ref="F19:F20"/>
    <mergeCell ref="B19:C19"/>
    <mergeCell ref="D19:E19"/>
    <mergeCell ref="A19:A20"/>
  </mergeCells>
  <printOptions horizontalCentered="1"/>
  <pageMargins left="0.3937007874015748" right="0.3937007874015748" top="0.5905511811023623" bottom="0.5905511811023623" header="0.4330708661417323" footer="0.3937007874015748"/>
  <pageSetup horizontalDpi="600" verticalDpi="600" orientation="landscape" paperSize="9" r:id="rId1"/>
  <headerFooter alignWithMargins="0">
    <oddFooter>&amp;C&amp;P/&amp;N&amp;R&amp;A</oddFooter>
  </headerFooter>
  <colBreaks count="1" manualBreakCount="1">
    <brk id="15" max="65535" man="1"/>
  </colBreaks>
</worksheet>
</file>

<file path=xl/worksheets/sheet27.xml><?xml version="1.0" encoding="utf-8"?>
<worksheet xmlns="http://schemas.openxmlformats.org/spreadsheetml/2006/main" xmlns:r="http://schemas.openxmlformats.org/officeDocument/2006/relationships">
  <sheetPr codeName="Munka33"/>
  <dimension ref="A1:J39"/>
  <sheetViews>
    <sheetView workbookViewId="0" topLeftCell="A4">
      <selection activeCell="A1" sqref="A1"/>
    </sheetView>
  </sheetViews>
  <sheetFormatPr defaultColWidth="9.00390625" defaultRowHeight="12.75"/>
  <cols>
    <col min="1" max="1" width="12.125" style="521" customWidth="1"/>
    <col min="2" max="2" width="12.875" style="521" customWidth="1"/>
    <col min="3" max="4" width="15.75390625" style="521" customWidth="1"/>
    <col min="5" max="8" width="9.75390625" style="521" customWidth="1"/>
    <col min="9" max="16384" width="9.125" style="521" customWidth="1"/>
  </cols>
  <sheetData>
    <row r="1" spans="1:8" s="4" customFormat="1" ht="12.75">
      <c r="A1" s="377" t="str">
        <f>'II.A'!A1</f>
        <v>Komáromi Távhő Kft</v>
      </c>
      <c r="H1" s="646" t="str">
        <f>'II.A'!H1</f>
        <v>Kiegészítő melléklet 2016. december 31.Hőszolgáltatás </v>
      </c>
    </row>
    <row r="2" spans="1:8" s="4" customFormat="1" ht="12.75">
      <c r="A2" s="117"/>
      <c r="H2" s="647" t="str">
        <f>'II.A'!H2</f>
        <v>II. Tájékoztató kiegészítések</v>
      </c>
    </row>
    <row r="3" spans="1:8" s="4" customFormat="1" ht="12.75">
      <c r="A3" s="645" t="str">
        <f>KiegMell!A31</f>
        <v>A közzétett adatokat könyvvizsgáló ellenőrizte</v>
      </c>
      <c r="B3" s="644"/>
      <c r="C3" s="644"/>
      <c r="D3" s="644"/>
      <c r="E3" s="644"/>
      <c r="F3" s="28"/>
      <c r="G3" s="28"/>
      <c r="H3" s="28"/>
    </row>
    <row r="4" spans="1:5" s="4" customFormat="1" ht="12.75">
      <c r="A4" s="1582"/>
      <c r="B4" s="644"/>
      <c r="C4" s="644"/>
      <c r="D4" s="644"/>
      <c r="E4" s="644"/>
    </row>
    <row r="5" spans="1:8" s="4" customFormat="1" ht="18">
      <c r="A5" s="532" t="s">
        <v>756</v>
      </c>
      <c r="B5" s="644"/>
      <c r="C5" s="644"/>
      <c r="D5" s="644"/>
      <c r="E5" s="644"/>
      <c r="F5" s="28"/>
      <c r="G5" s="28"/>
      <c r="H5" s="28"/>
    </row>
    <row r="6" ht="12.75">
      <c r="A6" s="581"/>
    </row>
    <row r="8" spans="1:8" ht="40.5" customHeight="1">
      <c r="A8" s="2298" t="s">
        <v>11</v>
      </c>
      <c r="B8" s="2298"/>
      <c r="C8" s="2298"/>
      <c r="D8" s="2298"/>
      <c r="E8" s="2298"/>
      <c r="F8" s="2298"/>
      <c r="G8" s="2298"/>
      <c r="H8" s="2298"/>
    </row>
    <row r="9" spans="1:10" ht="13.5" thickBot="1">
      <c r="A9" s="1759"/>
      <c r="B9" s="1759"/>
      <c r="C9" s="1759"/>
      <c r="D9" s="1759"/>
      <c r="E9" s="1759"/>
      <c r="F9" s="1763"/>
      <c r="G9" s="1763"/>
      <c r="H9" s="1764" t="str">
        <f>'II.E.2'!I7</f>
        <v>Adatok E Ft-ban</v>
      </c>
      <c r="I9" s="690"/>
      <c r="J9" s="690"/>
    </row>
    <row r="10" spans="1:8" ht="24.75" customHeight="1">
      <c r="A10" s="2306" t="s">
        <v>494</v>
      </c>
      <c r="B10" s="2307"/>
      <c r="C10" s="2307"/>
      <c r="D10" s="2308"/>
      <c r="E10" s="2299" t="s">
        <v>12</v>
      </c>
      <c r="F10" s="2300"/>
      <c r="G10" s="2301" t="s">
        <v>13</v>
      </c>
      <c r="H10" s="2302"/>
    </row>
    <row r="11" spans="1:8" ht="12.75">
      <c r="A11" s="2303" t="s">
        <v>110</v>
      </c>
      <c r="B11" s="2304"/>
      <c r="C11" s="2305"/>
      <c r="D11" s="1760"/>
      <c r="E11" s="2292"/>
      <c r="F11" s="2293"/>
      <c r="G11" s="2292"/>
      <c r="H11" s="2309"/>
    </row>
    <row r="12" spans="1:8" ht="12.75">
      <c r="A12" s="2283" t="s">
        <v>110</v>
      </c>
      <c r="B12" s="2284"/>
      <c r="C12" s="2285"/>
      <c r="D12" s="1761"/>
      <c r="E12" s="2292"/>
      <c r="F12" s="2293"/>
      <c r="G12" s="2292"/>
      <c r="H12" s="2309"/>
    </row>
    <row r="13" spans="1:8" ht="12.75">
      <c r="A13" s="2286" t="s">
        <v>111</v>
      </c>
      <c r="B13" s="2287"/>
      <c r="C13" s="2288"/>
      <c r="D13" s="1761"/>
      <c r="E13" s="2292"/>
      <c r="F13" s="2293"/>
      <c r="G13" s="2292"/>
      <c r="H13" s="2309"/>
    </row>
    <row r="14" spans="1:8" ht="13.5" thickBot="1">
      <c r="A14" s="2289" t="s">
        <v>1845</v>
      </c>
      <c r="B14" s="2290"/>
      <c r="C14" s="2291"/>
      <c r="D14" s="1762"/>
      <c r="E14" s="2281"/>
      <c r="F14" s="2282"/>
      <c r="G14" s="2281"/>
      <c r="H14" s="2310"/>
    </row>
    <row r="15" spans="1:8" ht="12.75">
      <c r="A15" s="1767"/>
      <c r="B15" s="1767"/>
      <c r="C15" s="1767"/>
      <c r="D15" s="1758"/>
      <c r="E15" s="1768"/>
      <c r="F15" s="1769"/>
      <c r="G15" s="1768"/>
      <c r="H15" s="1768"/>
    </row>
    <row r="16" spans="5:8" ht="12.75">
      <c r="E16" s="1569"/>
      <c r="F16" s="1569"/>
      <c r="G16" s="1569"/>
      <c r="H16" s="1569"/>
    </row>
    <row r="17" ht="13.5" thickBot="1">
      <c r="A17" s="581" t="s">
        <v>14</v>
      </c>
    </row>
    <row r="18" spans="1:4" ht="12.75">
      <c r="A18" s="2294" t="s">
        <v>494</v>
      </c>
      <c r="B18" s="2295"/>
      <c r="C18" s="1765" t="s">
        <v>1205</v>
      </c>
      <c r="D18" s="1766" t="s">
        <v>112</v>
      </c>
    </row>
    <row r="19" spans="1:4" ht="15.75" customHeight="1">
      <c r="A19" s="2279" t="s">
        <v>113</v>
      </c>
      <c r="B19" s="2280"/>
      <c r="C19" s="523"/>
      <c r="D19" s="1649"/>
    </row>
    <row r="20" spans="1:4" ht="12.75">
      <c r="A20" s="2279" t="s">
        <v>114</v>
      </c>
      <c r="B20" s="2280"/>
      <c r="C20" s="523"/>
      <c r="D20" s="1649"/>
    </row>
    <row r="21" spans="1:4" ht="13.5" thickBot="1">
      <c r="A21" s="2296" t="s">
        <v>1845</v>
      </c>
      <c r="B21" s="2297"/>
      <c r="C21" s="1651"/>
      <c r="D21" s="1652"/>
    </row>
    <row r="22" spans="1:4" ht="12.75">
      <c r="A22" s="1757"/>
      <c r="B22" s="1757"/>
      <c r="C22" s="1758"/>
      <c r="D22" s="1758"/>
    </row>
    <row r="24" ht="13.5" thickBot="1">
      <c r="A24" s="581" t="s">
        <v>15</v>
      </c>
    </row>
    <row r="25" spans="1:4" ht="12.75">
      <c r="A25" s="2294" t="s">
        <v>16</v>
      </c>
      <c r="B25" s="2295"/>
      <c r="C25" s="1765" t="s">
        <v>1205</v>
      </c>
      <c r="D25" s="1766" t="s">
        <v>112</v>
      </c>
    </row>
    <row r="26" spans="1:4" ht="12.75">
      <c r="A26" s="2279"/>
      <c r="B26" s="2280"/>
      <c r="C26" s="523"/>
      <c r="D26" s="1649"/>
    </row>
    <row r="27" spans="1:4" ht="12.75">
      <c r="A27" s="2279"/>
      <c r="B27" s="2280"/>
      <c r="C27" s="523"/>
      <c r="D27" s="1649"/>
    </row>
    <row r="28" spans="1:4" ht="13.5" thickBot="1">
      <c r="A28" s="2296"/>
      <c r="B28" s="2297"/>
      <c r="C28" s="1651"/>
      <c r="D28" s="1652"/>
    </row>
    <row r="29" spans="1:4" ht="12.75">
      <c r="A29" s="1757"/>
      <c r="B29" s="1757"/>
      <c r="C29" s="1758"/>
      <c r="D29" s="1758"/>
    </row>
    <row r="30" ht="13.5" thickBot="1">
      <c r="A30" s="581" t="s">
        <v>17</v>
      </c>
    </row>
    <row r="31" spans="1:8" ht="69" customHeight="1">
      <c r="A31" s="2274" t="s">
        <v>2</v>
      </c>
      <c r="B31" s="2276" t="s">
        <v>1167</v>
      </c>
      <c r="C31" s="2272" t="s">
        <v>947</v>
      </c>
      <c r="D31" s="2272" t="s">
        <v>948</v>
      </c>
      <c r="E31" s="2278" t="s">
        <v>949</v>
      </c>
      <c r="F31" s="2278"/>
      <c r="G31" s="2272" t="s">
        <v>950</v>
      </c>
      <c r="H31" s="2273"/>
    </row>
    <row r="32" spans="1:8" ht="38.25">
      <c r="A32" s="2275"/>
      <c r="B32" s="2277"/>
      <c r="C32" s="2277"/>
      <c r="D32" s="2277"/>
      <c r="E32" s="621" t="s">
        <v>115</v>
      </c>
      <c r="F32" s="621" t="s">
        <v>116</v>
      </c>
      <c r="G32" s="621" t="s">
        <v>117</v>
      </c>
      <c r="H32" s="1740" t="s">
        <v>118</v>
      </c>
    </row>
    <row r="33" spans="1:8" ht="12.75">
      <c r="A33" s="967"/>
      <c r="B33" s="523"/>
      <c r="C33" s="523"/>
      <c r="D33" s="1770"/>
      <c r="E33" s="968"/>
      <c r="F33" s="968"/>
      <c r="G33" s="968"/>
      <c r="H33" s="969"/>
    </row>
    <row r="34" spans="1:8" ht="12.75">
      <c r="A34" s="967"/>
      <c r="B34" s="523"/>
      <c r="C34" s="523"/>
      <c r="D34" s="1770"/>
      <c r="E34" s="968"/>
      <c r="F34" s="968"/>
      <c r="G34" s="968"/>
      <c r="H34" s="969"/>
    </row>
    <row r="35" spans="1:8" ht="12.75">
      <c r="A35" s="967"/>
      <c r="B35" s="523"/>
      <c r="C35" s="523"/>
      <c r="D35" s="1770"/>
      <c r="E35" s="968"/>
      <c r="F35" s="968"/>
      <c r="G35" s="968"/>
      <c r="H35" s="969"/>
    </row>
    <row r="36" spans="1:8" ht="12.75">
      <c r="A36" s="967"/>
      <c r="B36" s="523"/>
      <c r="C36" s="523"/>
      <c r="D36" s="1770"/>
      <c r="E36" s="968"/>
      <c r="F36" s="968"/>
      <c r="G36" s="968"/>
      <c r="H36" s="969"/>
    </row>
    <row r="37" spans="1:8" ht="12.75">
      <c r="A37" s="967"/>
      <c r="B37" s="523"/>
      <c r="C37" s="523"/>
      <c r="D37" s="1770"/>
      <c r="E37" s="968"/>
      <c r="F37" s="968"/>
      <c r="G37" s="968"/>
      <c r="H37" s="969"/>
    </row>
    <row r="38" spans="1:8" ht="12.75">
      <c r="A38" s="967"/>
      <c r="B38" s="523"/>
      <c r="C38" s="523"/>
      <c r="D38" s="1770"/>
      <c r="E38" s="968"/>
      <c r="F38" s="968"/>
      <c r="G38" s="968"/>
      <c r="H38" s="969"/>
    </row>
    <row r="39" spans="1:8" ht="13.5" thickBot="1">
      <c r="A39" s="1650"/>
      <c r="B39" s="1651"/>
      <c r="C39" s="1651"/>
      <c r="D39" s="1771"/>
      <c r="E39" s="1772"/>
      <c r="F39" s="1772"/>
      <c r="G39" s="1772"/>
      <c r="H39" s="1773"/>
    </row>
  </sheetData>
  <mergeCells count="30">
    <mergeCell ref="G11:H11"/>
    <mergeCell ref="G12:H12"/>
    <mergeCell ref="G13:H13"/>
    <mergeCell ref="G14:H14"/>
    <mergeCell ref="A27:B27"/>
    <mergeCell ref="A28:B28"/>
    <mergeCell ref="A8:H8"/>
    <mergeCell ref="E10:F10"/>
    <mergeCell ref="G10:H10"/>
    <mergeCell ref="E11:F11"/>
    <mergeCell ref="A11:C11"/>
    <mergeCell ref="A10:D10"/>
    <mergeCell ref="E13:F13"/>
    <mergeCell ref="A25:B25"/>
    <mergeCell ref="A26:B26"/>
    <mergeCell ref="E14:F14"/>
    <mergeCell ref="A12:C12"/>
    <mergeCell ref="A13:C13"/>
    <mergeCell ref="A14:C14"/>
    <mergeCell ref="E12:F12"/>
    <mergeCell ref="A18:B18"/>
    <mergeCell ref="A19:B19"/>
    <mergeCell ref="A20:B20"/>
    <mergeCell ref="A21:B21"/>
    <mergeCell ref="G31:H31"/>
    <mergeCell ref="A31:A32"/>
    <mergeCell ref="B31:B32"/>
    <mergeCell ref="C31:C32"/>
    <mergeCell ref="D31:D32"/>
    <mergeCell ref="E31:F31"/>
  </mergeCells>
  <printOptions/>
  <pageMargins left="0.6" right="0.62" top="0.58" bottom="0.61" header="0.4" footer="0.39"/>
  <pageSetup horizontalDpi="600" verticalDpi="600" orientation="portrait" paperSize="9" scale="94" r:id="rId1"/>
  <colBreaks count="1" manualBreakCount="1">
    <brk id="8" max="65535" man="1"/>
  </colBreaks>
</worksheet>
</file>

<file path=xl/worksheets/sheet28.xml><?xml version="1.0" encoding="utf-8"?>
<worksheet xmlns="http://schemas.openxmlformats.org/spreadsheetml/2006/main" xmlns:r="http://schemas.openxmlformats.org/officeDocument/2006/relationships">
  <sheetPr codeName="Munka17">
    <tabColor indexed="11"/>
  </sheetPr>
  <dimension ref="A1:S28"/>
  <sheetViews>
    <sheetView workbookViewId="0" topLeftCell="A3">
      <pane xSplit="2" ySplit="11" topLeftCell="C14" activePane="bottomRight" state="frozen"/>
      <selection pane="topLeft" activeCell="A4" sqref="A4"/>
      <selection pane="topRight" activeCell="C4" sqref="C4"/>
      <selection pane="bottomLeft" activeCell="A16" sqref="A16"/>
      <selection pane="bottomRight" activeCell="C27" sqref="C27"/>
    </sheetView>
  </sheetViews>
  <sheetFormatPr defaultColWidth="9.00390625" defaultRowHeight="12.75"/>
  <cols>
    <col min="1" max="1" width="11.875" style="388" customWidth="1"/>
    <col min="2" max="2" width="20.375" style="388" customWidth="1"/>
    <col min="3" max="18" width="11.75390625" style="388" customWidth="1"/>
    <col min="19" max="19" width="12.125" style="388" customWidth="1"/>
    <col min="20" max="20" width="12.00390625" style="388" customWidth="1"/>
    <col min="21" max="16384" width="9.125" style="388" customWidth="1"/>
  </cols>
  <sheetData>
    <row r="1" spans="1:18" s="528" customFormat="1" ht="11.25">
      <c r="A1" s="387" t="str">
        <f>'I.A.1'!A1</f>
        <v>Komáromi Távhő Kft</v>
      </c>
      <c r="B1" s="527"/>
      <c r="C1" s="527"/>
      <c r="D1" s="527"/>
      <c r="F1" s="471"/>
      <c r="R1" s="389" t="str">
        <f>'I.A.1'!R1</f>
        <v>Kiegészítő melléklet 2016. december 31.Hőszolgáltatás </v>
      </c>
    </row>
    <row r="2" spans="2:18" s="528" customFormat="1" ht="14.25" customHeight="1">
      <c r="B2" s="529"/>
      <c r="C2" s="529"/>
      <c r="D2" s="529"/>
      <c r="E2" s="529"/>
      <c r="F2" s="529"/>
      <c r="G2" s="529"/>
      <c r="H2" s="529"/>
      <c r="I2" s="529"/>
      <c r="J2" s="529"/>
      <c r="K2" s="529"/>
      <c r="L2" s="529"/>
      <c r="M2" s="529"/>
      <c r="N2" s="529"/>
      <c r="O2" s="529"/>
      <c r="P2" s="529"/>
      <c r="Q2" s="529"/>
      <c r="R2" s="737" t="str">
        <f>A5</f>
        <v>III. Mérleghez és eredménykimutatáshoz kapcsolódó kiegészítések</v>
      </c>
    </row>
    <row r="3" spans="1:18" s="528" customFormat="1" ht="14.25" customHeight="1">
      <c r="A3" s="411" t="str">
        <f>'I.A.1'!A3</f>
        <v>A közzétett adatokat könyvvizsgáló ellenőrizte</v>
      </c>
      <c r="B3" s="529"/>
      <c r="C3" s="529"/>
      <c r="D3" s="529"/>
      <c r="E3" s="529"/>
      <c r="F3" s="529"/>
      <c r="G3" s="529"/>
      <c r="H3" s="529"/>
      <c r="I3" s="529"/>
      <c r="J3" s="529"/>
      <c r="K3" s="529"/>
      <c r="L3" s="529"/>
      <c r="M3" s="529"/>
      <c r="N3" s="529"/>
      <c r="O3" s="529"/>
      <c r="P3" s="529"/>
      <c r="Q3" s="529"/>
      <c r="R3" s="738"/>
    </row>
    <row r="4" spans="1:6" s="372" customFormat="1" ht="14.25" customHeight="1">
      <c r="A4" s="530"/>
      <c r="B4" s="531"/>
      <c r="C4" s="531"/>
      <c r="D4" s="531"/>
      <c r="E4" s="531"/>
      <c r="F4" s="531"/>
    </row>
    <row r="5" spans="1:18" s="372" customFormat="1" ht="17.25" customHeight="1">
      <c r="A5" s="843" t="s">
        <v>1584</v>
      </c>
      <c r="B5" s="531"/>
      <c r="C5" s="855"/>
      <c r="D5" s="531"/>
      <c r="E5" s="531"/>
      <c r="F5" s="531"/>
      <c r="G5" s="531"/>
      <c r="H5" s="531"/>
      <c r="I5" s="531"/>
      <c r="J5" s="531"/>
      <c r="K5" s="531"/>
      <c r="L5" s="531"/>
      <c r="M5" s="531"/>
      <c r="N5" s="531"/>
      <c r="O5" s="531"/>
      <c r="P5" s="531"/>
      <c r="Q5" s="531"/>
      <c r="R5" s="531"/>
    </row>
    <row r="7" spans="1:18" s="842" customFormat="1" ht="16.5">
      <c r="A7" s="840" t="s">
        <v>360</v>
      </c>
      <c r="B7" s="841"/>
      <c r="C7" s="841"/>
      <c r="D7" s="841"/>
      <c r="E7" s="841"/>
      <c r="F7" s="841"/>
      <c r="G7" s="841"/>
      <c r="H7" s="841"/>
      <c r="I7" s="841"/>
      <c r="J7" s="841"/>
      <c r="K7" s="841"/>
      <c r="L7" s="841"/>
      <c r="M7" s="841"/>
      <c r="N7" s="841"/>
      <c r="O7" s="841"/>
      <c r="P7" s="841"/>
      <c r="Q7" s="841"/>
      <c r="R7" s="841"/>
    </row>
    <row r="9" spans="1:6" ht="12.75">
      <c r="A9" s="409"/>
      <c r="B9" s="403"/>
      <c r="C9" s="403"/>
      <c r="D9" s="403"/>
      <c r="E9" s="403"/>
      <c r="F9" s="403"/>
    </row>
    <row r="10" spans="16:18" ht="13.5" thickBot="1">
      <c r="P10" s="844"/>
      <c r="Q10" s="844"/>
      <c r="R10" s="845" t="str">
        <f>Mérleg"A"!E9</f>
        <v>Adatok E Ft-ban</v>
      </c>
    </row>
    <row r="11" spans="1:18" ht="13.5" thickTop="1">
      <c r="A11" s="2313" t="s">
        <v>917</v>
      </c>
      <c r="B11" s="2314"/>
      <c r="C11" s="2317" t="s">
        <v>918</v>
      </c>
      <c r="D11" s="2317"/>
      <c r="E11" s="2317"/>
      <c r="F11" s="2317"/>
      <c r="G11" s="2318"/>
      <c r="H11" s="2321" t="s">
        <v>919</v>
      </c>
      <c r="I11" s="2322"/>
      <c r="J11" s="2322"/>
      <c r="K11" s="2322"/>
      <c r="L11" s="2323"/>
      <c r="M11" s="757" t="s">
        <v>920</v>
      </c>
      <c r="N11" s="758"/>
      <c r="O11" s="758"/>
      <c r="P11" s="758"/>
      <c r="Q11" s="759"/>
      <c r="R11" s="760"/>
    </row>
    <row r="12" spans="1:18" ht="12.75">
      <c r="A12" s="2315"/>
      <c r="B12" s="2256"/>
      <c r="C12" s="533" t="s">
        <v>603</v>
      </c>
      <c r="D12" s="533" t="s">
        <v>604</v>
      </c>
      <c r="E12" s="533" t="s">
        <v>605</v>
      </c>
      <c r="F12" s="1436" t="s">
        <v>1045</v>
      </c>
      <c r="G12" s="2264" t="s">
        <v>922</v>
      </c>
      <c r="H12" s="533" t="s">
        <v>603</v>
      </c>
      <c r="I12" s="533" t="s">
        <v>604</v>
      </c>
      <c r="J12" s="533" t="s">
        <v>605</v>
      </c>
      <c r="K12" s="1436" t="s">
        <v>1045</v>
      </c>
      <c r="L12" s="2264" t="s">
        <v>922</v>
      </c>
      <c r="M12" s="2326" t="s">
        <v>923</v>
      </c>
      <c r="N12" s="2263"/>
      <c r="O12" s="2263"/>
      <c r="P12" s="2324" t="s">
        <v>924</v>
      </c>
      <c r="Q12" s="2324" t="s">
        <v>925</v>
      </c>
      <c r="R12" s="2327" t="s">
        <v>1747</v>
      </c>
    </row>
    <row r="13" spans="1:18" ht="33.75" customHeight="1" thickBot="1">
      <c r="A13" s="2316"/>
      <c r="B13" s="2258"/>
      <c r="C13" s="535"/>
      <c r="D13" s="535"/>
      <c r="E13" s="535"/>
      <c r="F13" s="536"/>
      <c r="G13" s="2265"/>
      <c r="H13" s="535"/>
      <c r="I13" s="535"/>
      <c r="J13" s="535"/>
      <c r="K13" s="536"/>
      <c r="L13" s="2265"/>
      <c r="M13" s="537" t="s">
        <v>1748</v>
      </c>
      <c r="N13" s="534" t="s">
        <v>1749</v>
      </c>
      <c r="O13" s="538" t="s">
        <v>1750</v>
      </c>
      <c r="P13" s="2325"/>
      <c r="Q13" s="2325"/>
      <c r="R13" s="2328"/>
    </row>
    <row r="14" spans="1:18" s="403" customFormat="1" ht="30" customHeight="1">
      <c r="A14" s="761" t="s">
        <v>1751</v>
      </c>
      <c r="B14" s="539"/>
      <c r="C14" s="540"/>
      <c r="D14" s="540"/>
      <c r="E14" s="540"/>
      <c r="F14" s="540"/>
      <c r="G14" s="1496"/>
      <c r="H14" s="540"/>
      <c r="I14" s="540"/>
      <c r="J14" s="540"/>
      <c r="K14" s="540"/>
      <c r="L14" s="1496"/>
      <c r="M14" s="541"/>
      <c r="N14" s="540"/>
      <c r="O14" s="1505"/>
      <c r="P14" s="540"/>
      <c r="Q14" s="542"/>
      <c r="R14" s="762"/>
    </row>
    <row r="15" spans="1:19" s="403" customFormat="1" ht="30" customHeight="1">
      <c r="A15" s="763" t="s">
        <v>1752</v>
      </c>
      <c r="B15" s="543"/>
      <c r="C15" s="544">
        <f>ROUND('L.A.I'!C11/1000,0)</f>
        <v>0</v>
      </c>
      <c r="D15" s="544">
        <f>ROUND('L.A.I'!D11/1000,0)</f>
        <v>0</v>
      </c>
      <c r="E15" s="544">
        <f>ROUND('L.A.I'!E11/1000,0)</f>
        <v>0</v>
      </c>
      <c r="F15" s="544">
        <f>ROUND('L.A.I'!F11/1000,0)</f>
        <v>0</v>
      </c>
      <c r="G15" s="1497">
        <f>SUM(C15:F15)</f>
        <v>0</v>
      </c>
      <c r="H15" s="544">
        <f>ROUND('L.A.I'!H11/1000,0)</f>
        <v>0</v>
      </c>
      <c r="I15" s="544">
        <f>ROUND('L.A.I'!I11/1000,0)</f>
        <v>0</v>
      </c>
      <c r="J15" s="544">
        <f>ROUND('L.A.I'!J11/1000,0)</f>
        <v>0</v>
      </c>
      <c r="K15" s="544">
        <f>ROUND('L.A.I'!K11/1000,0)</f>
        <v>0</v>
      </c>
      <c r="L15" s="1497">
        <f>SUM(H15:K15)</f>
        <v>0</v>
      </c>
      <c r="M15" s="546"/>
      <c r="N15" s="544"/>
      <c r="O15" s="1506">
        <f>SUM(M15:N15)</f>
        <v>0</v>
      </c>
      <c r="P15" s="548"/>
      <c r="Q15" s="549"/>
      <c r="R15" s="1491">
        <f>SUM(O15:Q15)</f>
        <v>0</v>
      </c>
      <c r="S15" s="1968" t="str">
        <f>IF((G15-L15)=Mérleg"A"!E14,"OK",Mérleg"A"!E14-(G15-L15))</f>
        <v>OK</v>
      </c>
    </row>
    <row r="16" spans="1:19" s="403" customFormat="1" ht="30" customHeight="1">
      <c r="A16" s="764" t="s">
        <v>30</v>
      </c>
      <c r="B16" s="550"/>
      <c r="C16" s="544">
        <f>ROUND('L.A.I'!C16/1000,0)</f>
        <v>0</v>
      </c>
      <c r="D16" s="544">
        <f>ROUND('L.A.I'!D16/1000,0)</f>
        <v>0</v>
      </c>
      <c r="E16" s="544">
        <f>ROUND('L.A.I'!E16/1000,0)</f>
        <v>0</v>
      </c>
      <c r="F16" s="544">
        <f>ROUND('L.A.I'!F16/1000,0)</f>
        <v>0</v>
      </c>
      <c r="G16" s="1497">
        <f>SUM(C16:F16)</f>
        <v>0</v>
      </c>
      <c r="H16" s="544">
        <f>ROUND('L.A.I'!H16/1000,0)</f>
        <v>0</v>
      </c>
      <c r="I16" s="544">
        <f>ROUND('L.A.I'!I16/1000,0)</f>
        <v>0</v>
      </c>
      <c r="J16" s="544">
        <f>ROUND('L.A.I'!J16/1000,0)</f>
        <v>0</v>
      </c>
      <c r="K16" s="544">
        <f>ROUND('L.A.I'!K16/1000,0)</f>
        <v>0</v>
      </c>
      <c r="L16" s="1497">
        <f>SUM(H16:K16)</f>
        <v>0</v>
      </c>
      <c r="M16" s="546"/>
      <c r="N16" s="544"/>
      <c r="O16" s="1506">
        <f>SUM(M16:N16)</f>
        <v>0</v>
      </c>
      <c r="P16" s="544"/>
      <c r="Q16" s="547"/>
      <c r="R16" s="1491">
        <f>SUM(O16:Q16)</f>
        <v>0</v>
      </c>
      <c r="S16" s="1968" t="str">
        <f>IF((G16-L16)=Mérleg"A"!E15,"OK",Mérleg"A"!E15-(G16-L16))</f>
        <v>OK</v>
      </c>
    </row>
    <row r="17" spans="1:19" s="403" customFormat="1" ht="30" customHeight="1">
      <c r="A17" s="763" t="s">
        <v>31</v>
      </c>
      <c r="B17" s="543"/>
      <c r="C17" s="544">
        <f>ROUND('L.A.I'!C21/1000,0)</f>
        <v>0</v>
      </c>
      <c r="D17" s="544">
        <f>ROUND('L.A.I'!D21/1000,0)</f>
        <v>0</v>
      </c>
      <c r="E17" s="544">
        <f>ROUND('L.A.I'!E21/1000,0)</f>
        <v>0</v>
      </c>
      <c r="F17" s="544">
        <f>ROUND('L.A.I'!F21/1000,0)</f>
        <v>0</v>
      </c>
      <c r="G17" s="1497">
        <f>SUM(C17:F17)</f>
        <v>0</v>
      </c>
      <c r="H17" s="544">
        <f>ROUND('L.A.I'!H21/1000,0)</f>
        <v>0</v>
      </c>
      <c r="I17" s="544">
        <f>ROUND('L.A.I'!I21/1000,0)</f>
        <v>0</v>
      </c>
      <c r="J17" s="544">
        <f>ROUND('L.A.I'!J21/1000,0)</f>
        <v>0</v>
      </c>
      <c r="K17" s="544">
        <f>ROUND('L.A.I'!K21/1000,0)</f>
        <v>0</v>
      </c>
      <c r="L17" s="1497">
        <f>SUM(H17:K17)</f>
        <v>0</v>
      </c>
      <c r="M17" s="546"/>
      <c r="N17" s="544"/>
      <c r="O17" s="1506">
        <f>SUM(M17:N17)</f>
        <v>0</v>
      </c>
      <c r="P17" s="544"/>
      <c r="Q17" s="547"/>
      <c r="R17" s="1491">
        <f>SUM(O17:Q17)</f>
        <v>0</v>
      </c>
      <c r="S17" s="1968" t="str">
        <f>IF((G17-L17)=Mérleg"A"!E16,"OK",Mérleg"A"!E16-(G17-L17))</f>
        <v>OK</v>
      </c>
    </row>
    <row r="18" spans="1:19" s="403" customFormat="1" ht="30" customHeight="1">
      <c r="A18" s="763" t="s">
        <v>1500</v>
      </c>
      <c r="B18" s="543"/>
      <c r="C18" s="544">
        <f>ROUND('L.A.I'!C26/1000,0)</f>
        <v>0</v>
      </c>
      <c r="D18" s="544">
        <f>ROUND('L.A.I'!D26/1000,0)</f>
        <v>0</v>
      </c>
      <c r="E18" s="544">
        <f>ROUND('L.A.I'!E26/1000,0)</f>
        <v>0</v>
      </c>
      <c r="F18" s="544">
        <f>ROUND('L.A.I'!F26/1000,0)</f>
        <v>0</v>
      </c>
      <c r="G18" s="1497">
        <f>SUM(C18:F18)</f>
        <v>0</v>
      </c>
      <c r="H18" s="544">
        <f>ROUND('L.A.I'!H26/1000,0)</f>
        <v>0</v>
      </c>
      <c r="I18" s="544">
        <f>ROUND('L.A.I'!I26/1000,0)</f>
        <v>0</v>
      </c>
      <c r="J18" s="544">
        <f>ROUND('L.A.I'!J26/1000,0)</f>
        <v>0</v>
      </c>
      <c r="K18" s="544">
        <f>ROUND('L.A.I'!K26/1000,0)</f>
        <v>0</v>
      </c>
      <c r="L18" s="1497">
        <f>SUM(H18:K18)</f>
        <v>0</v>
      </c>
      <c r="M18" s="546"/>
      <c r="N18" s="544"/>
      <c r="O18" s="1506">
        <f>SUM(M18:N18)</f>
        <v>0</v>
      </c>
      <c r="P18" s="544"/>
      <c r="Q18" s="547"/>
      <c r="R18" s="1491">
        <f>SUM(O18:Q18)</f>
        <v>0</v>
      </c>
      <c r="S18" s="1968" t="str">
        <f>IF((G18-L18)=Mérleg"A"!E17,"OK",Mérleg"A"!E17-(G18-L18))</f>
        <v>OK</v>
      </c>
    </row>
    <row r="19" spans="1:19" s="403" customFormat="1" ht="30" customHeight="1" thickBot="1">
      <c r="A19" s="765" t="s">
        <v>32</v>
      </c>
      <c r="B19" s="551"/>
      <c r="C19" s="544">
        <f>ROUND('L.A.I'!C31/1000,0)</f>
        <v>0</v>
      </c>
      <c r="D19" s="544">
        <f>ROUND('L.A.I'!D31/1000,0)</f>
        <v>0</v>
      </c>
      <c r="E19" s="544">
        <f>ROUND('L.A.I'!E31/1000,0)</f>
        <v>0</v>
      </c>
      <c r="F19" s="544">
        <f>ROUND('L.A.I'!F31/1000,0)</f>
        <v>0</v>
      </c>
      <c r="G19" s="1498">
        <f>SUM(C19:F19)</f>
        <v>0</v>
      </c>
      <c r="H19" s="544">
        <f>ROUND('L.A.I'!H31/1000,0)</f>
        <v>0</v>
      </c>
      <c r="I19" s="544">
        <f>ROUND('L.A.I'!I31/1000,0)</f>
        <v>0</v>
      </c>
      <c r="J19" s="544">
        <f>ROUND('L.A.I'!J31/1000,0)</f>
        <v>0</v>
      </c>
      <c r="K19" s="544">
        <f>ROUND('L.A.I'!K31/1000,0)</f>
        <v>0</v>
      </c>
      <c r="L19" s="1498">
        <f>SUM(H19:K19)</f>
        <v>0</v>
      </c>
      <c r="M19" s="553"/>
      <c r="N19" s="552"/>
      <c r="O19" s="1506">
        <f>SUM(M19:N19)</f>
        <v>0</v>
      </c>
      <c r="P19" s="554"/>
      <c r="Q19" s="555"/>
      <c r="R19" s="1491">
        <f>SUM(O19:Q19)</f>
        <v>0</v>
      </c>
      <c r="S19" s="1968" t="str">
        <f>IF((G19-L19)=Mérleg"A"!E18,"OK",Mérleg"A"!E18-(G19-L19))</f>
        <v>OK</v>
      </c>
    </row>
    <row r="20" spans="1:18" s="409" customFormat="1" ht="30" customHeight="1" thickBot="1">
      <c r="A20" s="1490" t="s">
        <v>33</v>
      </c>
      <c r="B20" s="1492"/>
      <c r="C20" s="1493">
        <f aca="true" t="shared" si="0" ref="C20:O20">SUM(C14:C19)</f>
        <v>0</v>
      </c>
      <c r="D20" s="1493">
        <f t="shared" si="0"/>
        <v>0</v>
      </c>
      <c r="E20" s="1493">
        <f t="shared" si="0"/>
        <v>0</v>
      </c>
      <c r="F20" s="1493">
        <f t="shared" si="0"/>
        <v>0</v>
      </c>
      <c r="G20" s="1493">
        <f t="shared" si="0"/>
        <v>0</v>
      </c>
      <c r="H20" s="1493">
        <f t="shared" si="0"/>
        <v>0</v>
      </c>
      <c r="I20" s="1493">
        <f t="shared" si="0"/>
        <v>0</v>
      </c>
      <c r="J20" s="1493">
        <f t="shared" si="0"/>
        <v>0</v>
      </c>
      <c r="K20" s="1493">
        <f t="shared" si="0"/>
        <v>0</v>
      </c>
      <c r="L20" s="1493">
        <f t="shared" si="0"/>
        <v>0</v>
      </c>
      <c r="M20" s="1494">
        <f t="shared" si="0"/>
        <v>0</v>
      </c>
      <c r="N20" s="1493">
        <f t="shared" si="0"/>
        <v>0</v>
      </c>
      <c r="O20" s="1495">
        <f t="shared" si="0"/>
        <v>0</v>
      </c>
      <c r="P20" s="1493"/>
      <c r="Q20" s="1495"/>
      <c r="R20" s="1488">
        <f>SUM(R14:R19)</f>
        <v>0</v>
      </c>
    </row>
    <row r="21" spans="1:18" s="403" customFormat="1" ht="30" customHeight="1">
      <c r="A21" s="761" t="s">
        <v>34</v>
      </c>
      <c r="B21" s="539"/>
      <c r="C21" s="540"/>
      <c r="D21" s="540"/>
      <c r="E21" s="540"/>
      <c r="F21" s="540"/>
      <c r="G21" s="1496"/>
      <c r="H21" s="540"/>
      <c r="I21" s="540"/>
      <c r="J21" s="540"/>
      <c r="K21" s="540"/>
      <c r="L21" s="1496"/>
      <c r="M21" s="541"/>
      <c r="N21" s="540"/>
      <c r="O21" s="1505"/>
      <c r="P21" s="540"/>
      <c r="Q21" s="542"/>
      <c r="R21" s="762"/>
    </row>
    <row r="22" spans="1:19" s="403" customFormat="1" ht="30" customHeight="1">
      <c r="A22" s="764" t="s">
        <v>35</v>
      </c>
      <c r="B22" s="550"/>
      <c r="C22" s="544">
        <f>ROUND('L.A.II'!C11/1000,0)</f>
        <v>0</v>
      </c>
      <c r="D22" s="544">
        <f>ROUND('L.A.II'!D11/1000,0)</f>
        <v>0</v>
      </c>
      <c r="E22" s="544">
        <f>ROUND('L.A.II'!E11/1000,0)</f>
        <v>0</v>
      </c>
      <c r="F22" s="544">
        <f>ROUND('L.A.II'!F11/1000,0)</f>
        <v>0</v>
      </c>
      <c r="G22" s="1497">
        <f>SUM(C22:F22)</f>
        <v>0</v>
      </c>
      <c r="H22" s="544">
        <f>ROUND('L.A.II'!H11/1000,0)</f>
        <v>0</v>
      </c>
      <c r="I22" s="544">
        <f>ROUND('L.A.II'!I11/1000,0)</f>
        <v>0</v>
      </c>
      <c r="J22" s="544">
        <f>ROUND('L.A.II'!J11/1000,0)</f>
        <v>0</v>
      </c>
      <c r="K22" s="544">
        <f>ROUND('L.A.II'!K11/1000,0)</f>
        <v>0</v>
      </c>
      <c r="L22" s="1497">
        <f>SUM(H22:K22)</f>
        <v>0</v>
      </c>
      <c r="M22" s="546"/>
      <c r="N22" s="544"/>
      <c r="O22" s="1506">
        <f>SUM(M22:N22)</f>
        <v>0</v>
      </c>
      <c r="P22" s="544"/>
      <c r="Q22" s="547"/>
      <c r="R22" s="1491">
        <f>SUM(O22:Q22)</f>
        <v>0</v>
      </c>
      <c r="S22" s="1968" t="str">
        <f>IF((G22-L22)=Mérleg"A"!E22,"OK",Mérleg"A"!E22-(G22-L22))</f>
        <v>OK</v>
      </c>
    </row>
    <row r="23" spans="1:19" s="403" customFormat="1" ht="30" customHeight="1">
      <c r="A23" s="2319" t="s">
        <v>36</v>
      </c>
      <c r="B23" s="2320"/>
      <c r="C23" s="544">
        <f>'L.A.II'!C16/1000</f>
        <v>0</v>
      </c>
      <c r="D23" s="544">
        <f>'L.A.II'!D16/1000</f>
        <v>0</v>
      </c>
      <c r="E23" s="544">
        <f>'L.A.II'!E16/1000</f>
        <v>0</v>
      </c>
      <c r="F23" s="544">
        <f>'L.A.II'!F16/1000</f>
        <v>0</v>
      </c>
      <c r="G23" s="1497">
        <f>SUM(C23:F23)</f>
        <v>0</v>
      </c>
      <c r="H23" s="544">
        <f>'L.A.II'!H16/1000</f>
        <v>0</v>
      </c>
      <c r="I23" s="544">
        <f>'L.A.II'!I16/1000</f>
        <v>0</v>
      </c>
      <c r="J23" s="544">
        <f>'L.A.II'!J16/1000</f>
        <v>0</v>
      </c>
      <c r="K23" s="544">
        <f>'L.A.II'!K16/1000</f>
        <v>0</v>
      </c>
      <c r="L23" s="1497">
        <f>SUM(H23:K23)</f>
        <v>0</v>
      </c>
      <c r="M23" s="546"/>
      <c r="N23" s="544"/>
      <c r="O23" s="1506">
        <f>SUM(M23:N23)</f>
        <v>0</v>
      </c>
      <c r="P23" s="544"/>
      <c r="Q23" s="547"/>
      <c r="R23" s="1491">
        <f>SUM(O23:Q23)</f>
        <v>0</v>
      </c>
      <c r="S23" s="1968" t="str">
        <f>IF((G23-L23)=Mérleg"A"!E23,"OK",Mérleg"A"!E23-(G23-L23))</f>
        <v>OK</v>
      </c>
    </row>
    <row r="24" spans="1:19" s="403" customFormat="1" ht="30" customHeight="1">
      <c r="A24" s="2319" t="s">
        <v>37</v>
      </c>
      <c r="B24" s="2320"/>
      <c r="C24" s="544">
        <f>'L.A.II'!C21/1000</f>
        <v>0</v>
      </c>
      <c r="D24" s="544">
        <f>'L.A.II'!D21/1000</f>
        <v>0</v>
      </c>
      <c r="E24" s="544">
        <f>'L.A.II'!E21/1000</f>
        <v>0</v>
      </c>
      <c r="F24" s="544">
        <f>'L.A.II'!F21/1000</f>
        <v>0</v>
      </c>
      <c r="G24" s="1497">
        <f>SUM(C24:F24)</f>
        <v>0</v>
      </c>
      <c r="H24" s="544">
        <f>'L.A.II'!H21/1000</f>
        <v>0</v>
      </c>
      <c r="I24" s="544">
        <f>'L.A.II'!I21/1000</f>
        <v>0</v>
      </c>
      <c r="J24" s="544">
        <f>'L.A.II'!J21/1000</f>
        <v>0</v>
      </c>
      <c r="K24" s="544">
        <f>'L.A.II'!K21/1000</f>
        <v>0</v>
      </c>
      <c r="L24" s="1497">
        <f>SUM(H24:K24)</f>
        <v>0</v>
      </c>
      <c r="M24" s="546"/>
      <c r="N24" s="544"/>
      <c r="O24" s="1506">
        <f>SUM(M24:N24)</f>
        <v>0</v>
      </c>
      <c r="P24" s="544"/>
      <c r="Q24" s="547"/>
      <c r="R24" s="1491">
        <f>SUM(O24:Q24)</f>
        <v>0</v>
      </c>
      <c r="S24" s="1968" t="str">
        <f>IF((G24-L24)=Mérleg"A"!E24,"OK",Mérleg"A"!E24-(G24-L24))</f>
        <v>OK</v>
      </c>
    </row>
    <row r="25" spans="1:19" s="403" customFormat="1" ht="30" customHeight="1">
      <c r="A25" s="763" t="s">
        <v>38</v>
      </c>
      <c r="B25" s="543"/>
      <c r="C25" s="544">
        <f>'L.A.II'!C26/1000</f>
        <v>0</v>
      </c>
      <c r="D25" s="544">
        <f>'L.A.II'!D26/1000</f>
        <v>0</v>
      </c>
      <c r="E25" s="544">
        <f>'L.A.II'!E26/1000</f>
        <v>0</v>
      </c>
      <c r="F25" s="544">
        <f>'L.A.II'!F26/1000</f>
        <v>0</v>
      </c>
      <c r="G25" s="1497">
        <f>SUM(C25:F25)</f>
        <v>0</v>
      </c>
      <c r="H25" s="544">
        <f>'L.A.II'!H26/1000</f>
        <v>0</v>
      </c>
      <c r="I25" s="544">
        <f>'L.A.II'!I26/1000</f>
        <v>0</v>
      </c>
      <c r="J25" s="544">
        <f>'L.A.II'!J26/1000</f>
        <v>0</v>
      </c>
      <c r="K25" s="544">
        <f>'L.A.II'!K26/1000</f>
        <v>0</v>
      </c>
      <c r="L25" s="1497">
        <f>SUM(H25:K25)</f>
        <v>0</v>
      </c>
      <c r="M25" s="546"/>
      <c r="N25" s="544"/>
      <c r="O25" s="1506">
        <f>SUM(M25:N25)</f>
        <v>0</v>
      </c>
      <c r="P25" s="544"/>
      <c r="Q25" s="547"/>
      <c r="R25" s="1491">
        <f>SUM(O25:Q25)</f>
        <v>0</v>
      </c>
      <c r="S25" s="1968" t="str">
        <f>IF((G25-L25)=Mérleg"A"!E25,"OK",Mérleg"A"!E25-(G25-L25))</f>
        <v>OK</v>
      </c>
    </row>
    <row r="26" spans="1:19" s="403" customFormat="1" ht="30" customHeight="1" thickBot="1">
      <c r="A26" s="766" t="s">
        <v>39</v>
      </c>
      <c r="B26" s="446"/>
      <c r="C26" s="558">
        <f>'L.A.II'!C31/1000</f>
        <v>0</v>
      </c>
      <c r="D26" s="558">
        <f>'L.A.II'!D31/1000</f>
        <v>0</v>
      </c>
      <c r="E26" s="558">
        <f>'L.A.II'!E31/1000</f>
        <v>0</v>
      </c>
      <c r="F26" s="558">
        <f>'L.A.II'!F31/1000</f>
        <v>0</v>
      </c>
      <c r="G26" s="1499">
        <f>SUM(C26:F26)</f>
        <v>0</v>
      </c>
      <c r="H26" s="559"/>
      <c r="I26" s="559"/>
      <c r="J26" s="559"/>
      <c r="K26" s="559"/>
      <c r="L26" s="1499"/>
      <c r="M26" s="560"/>
      <c r="N26" s="559"/>
      <c r="O26" s="1507"/>
      <c r="P26" s="559"/>
      <c r="Q26" s="561"/>
      <c r="R26" s="767"/>
      <c r="S26" s="1968" t="str">
        <f>IF((G26-L26)=Mérleg"A"!E26,"OK",Mérleg"A"!E26-(G26-L26))</f>
        <v>OK</v>
      </c>
    </row>
    <row r="27" spans="1:18" s="409" customFormat="1" ht="30" customHeight="1" thickBot="1">
      <c r="A27" s="2311" t="s">
        <v>40</v>
      </c>
      <c r="B27" s="2312"/>
      <c r="C27" s="1501">
        <f aca="true" t="shared" si="1" ref="C27:R27">SUM(C21:C26)</f>
        <v>0</v>
      </c>
      <c r="D27" s="1501">
        <f t="shared" si="1"/>
        <v>0</v>
      </c>
      <c r="E27" s="1501">
        <f t="shared" si="1"/>
        <v>0</v>
      </c>
      <c r="F27" s="1501">
        <f t="shared" si="1"/>
        <v>0</v>
      </c>
      <c r="G27" s="1500">
        <f t="shared" si="1"/>
        <v>0</v>
      </c>
      <c r="H27" s="1501">
        <f t="shared" si="1"/>
        <v>0</v>
      </c>
      <c r="I27" s="1501">
        <f t="shared" si="1"/>
        <v>0</v>
      </c>
      <c r="J27" s="1501">
        <f t="shared" si="1"/>
        <v>0</v>
      </c>
      <c r="K27" s="1501">
        <f t="shared" si="1"/>
        <v>0</v>
      </c>
      <c r="L27" s="1500">
        <f t="shared" si="1"/>
        <v>0</v>
      </c>
      <c r="M27" s="1502">
        <f t="shared" si="1"/>
        <v>0</v>
      </c>
      <c r="N27" s="1501">
        <f t="shared" si="1"/>
        <v>0</v>
      </c>
      <c r="O27" s="1503">
        <f t="shared" si="1"/>
        <v>0</v>
      </c>
      <c r="P27" s="1501">
        <f t="shared" si="1"/>
        <v>0</v>
      </c>
      <c r="Q27" s="1504">
        <f t="shared" si="1"/>
        <v>0</v>
      </c>
      <c r="R27" s="1489">
        <f t="shared" si="1"/>
        <v>0</v>
      </c>
    </row>
    <row r="28" ht="30" customHeight="1" thickTop="1">
      <c r="R28" s="1967" t="str">
        <f>IF((R20+R27)=EredmÖsszktsg"A"!E30,"OK",EredmÖsszktsg"A"!E30-(R20+R27))</f>
        <v>OK</v>
      </c>
    </row>
    <row r="29" s="398" customFormat="1" ht="12.75"/>
  </sheetData>
  <mergeCells count="12">
    <mergeCell ref="H11:L11"/>
    <mergeCell ref="Q12:Q13"/>
    <mergeCell ref="M12:O12"/>
    <mergeCell ref="R12:R13"/>
    <mergeCell ref="P12:P13"/>
    <mergeCell ref="L12:L13"/>
    <mergeCell ref="A27:B27"/>
    <mergeCell ref="A11:B13"/>
    <mergeCell ref="C11:G11"/>
    <mergeCell ref="G12:G13"/>
    <mergeCell ref="A23:B23"/>
    <mergeCell ref="A24:B24"/>
  </mergeCells>
  <printOptions horizontalCentered="1"/>
  <pageMargins left="0.3937007874015748" right="0.3937007874015748" top="0.5905511811023623" bottom="0.5905511811023623" header="0.4330708661417323" footer="0.3937007874015748"/>
  <pageSetup horizontalDpi="600" verticalDpi="600" orientation="landscape" paperSize="9" scale="62" r:id="rId1"/>
  <headerFooter alignWithMargins="0">
    <oddFooter>&amp;C&amp;P/&amp;N&amp;R&amp;A</oddFooter>
  </headerFooter>
  <colBreaks count="1" manualBreakCount="1">
    <brk id="18" max="65535" man="1"/>
  </colBreaks>
</worksheet>
</file>

<file path=xl/worksheets/sheet29.xml><?xml version="1.0" encoding="utf-8"?>
<worksheet xmlns="http://schemas.openxmlformats.org/spreadsheetml/2006/main" xmlns:r="http://schemas.openxmlformats.org/officeDocument/2006/relationships">
  <sheetPr codeName="Munka22"/>
  <dimension ref="A1:G32"/>
  <sheetViews>
    <sheetView workbookViewId="0" topLeftCell="A1">
      <selection activeCell="I22" sqref="I22"/>
    </sheetView>
  </sheetViews>
  <sheetFormatPr defaultColWidth="9.00390625" defaultRowHeight="12.75"/>
  <cols>
    <col min="1" max="1" width="11.00390625" style="388" customWidth="1"/>
    <col min="2" max="2" width="50.00390625" style="388" customWidth="1"/>
    <col min="3" max="4" width="12.75390625" style="388" customWidth="1"/>
    <col min="5" max="16384" width="9.125" style="388" customWidth="1"/>
  </cols>
  <sheetData>
    <row r="1" spans="1:4" s="372" customFormat="1" ht="15">
      <c r="A1" s="387" t="str">
        <f>'III.A.I-II'!A1</f>
        <v>Komáromi Távhő Kft</v>
      </c>
      <c r="B1" s="470"/>
      <c r="D1" s="389" t="str">
        <f>'III.A.I-II'!R1</f>
        <v>Kiegészítő melléklet 2016. december 31.Hőszolgáltatás </v>
      </c>
    </row>
    <row r="2" spans="1:4" s="372" customFormat="1" ht="15">
      <c r="A2" s="387"/>
      <c r="B2" s="470"/>
      <c r="D2" s="389" t="str">
        <f>'III.A.I-II'!R2</f>
        <v>III. Mérleghez és eredménykimutatáshoz kapcsolódó kiegészítések</v>
      </c>
    </row>
    <row r="3" spans="1:4" s="372" customFormat="1" ht="15">
      <c r="A3" s="387"/>
      <c r="B3" s="470"/>
      <c r="D3" s="389"/>
    </row>
    <row r="4" spans="1:4" s="372" customFormat="1" ht="15">
      <c r="A4" s="411" t="str">
        <f>'III.A.I-II'!A3</f>
        <v>A közzétett adatokat könyvvizsgáló ellenőrizte</v>
      </c>
      <c r="B4" s="1634"/>
      <c r="C4" s="531"/>
      <c r="D4" s="396"/>
    </row>
    <row r="5" spans="1:4" s="372" customFormat="1" ht="15">
      <c r="A5" s="387"/>
      <c r="B5" s="470"/>
      <c r="D5" s="389"/>
    </row>
    <row r="6" spans="1:4" ht="18">
      <c r="A6" s="532" t="s">
        <v>927</v>
      </c>
      <c r="B6" s="393"/>
      <c r="C6" s="393"/>
      <c r="D6" s="393"/>
    </row>
    <row r="7" spans="1:4" ht="13.5" thickBot="1">
      <c r="A7" s="398"/>
      <c r="D7" s="746" t="str">
        <f>'III.A.I-II'!R10</f>
        <v>Adatok E Ft-ban</v>
      </c>
    </row>
    <row r="8" spans="1:7" s="856" customFormat="1" ht="19.5" customHeight="1" thickBot="1">
      <c r="A8" s="2329" t="s">
        <v>494</v>
      </c>
      <c r="B8" s="2330"/>
      <c r="C8" s="1973" t="s">
        <v>603</v>
      </c>
      <c r="D8" s="1589" t="s">
        <v>922</v>
      </c>
      <c r="F8" s="1973" t="s">
        <v>603</v>
      </c>
      <c r="G8" s="1589" t="s">
        <v>922</v>
      </c>
    </row>
    <row r="9" spans="1:4" s="857" customFormat="1" ht="19.5" customHeight="1" thickBot="1">
      <c r="A9" s="2333" t="s">
        <v>508</v>
      </c>
      <c r="B9" s="2334"/>
      <c r="C9" s="1974">
        <f>'L.B.II'!Q11</f>
        <v>0</v>
      </c>
      <c r="D9" s="1969">
        <f>'L.B.II'!R11</f>
        <v>0</v>
      </c>
    </row>
    <row r="10" spans="1:4" s="857" customFormat="1" ht="19.5" customHeight="1" hidden="1">
      <c r="A10" s="1642"/>
      <c r="B10" s="1637"/>
      <c r="C10" s="1975"/>
      <c r="D10" s="1970"/>
    </row>
    <row r="11" spans="1:4" s="857" customFormat="1" ht="19.5" customHeight="1">
      <c r="A11" s="1643"/>
      <c r="B11" s="1051"/>
      <c r="C11" s="1976"/>
      <c r="D11" s="1971"/>
    </row>
    <row r="12" spans="1:4" s="857" customFormat="1" ht="19.5" customHeight="1">
      <c r="A12" s="1643"/>
      <c r="B12" s="1051"/>
      <c r="C12" s="1976"/>
      <c r="D12" s="1971"/>
    </row>
    <row r="13" spans="1:4" s="857" customFormat="1" ht="19.5" customHeight="1" thickBot="1">
      <c r="A13" s="1644"/>
      <c r="B13" s="1053"/>
      <c r="C13" s="1977"/>
      <c r="D13" s="1972"/>
    </row>
    <row r="14" spans="1:7" s="857" customFormat="1" ht="19.5" customHeight="1" thickBot="1">
      <c r="A14" s="2335" t="s">
        <v>1305</v>
      </c>
      <c r="B14" s="2336"/>
      <c r="C14" s="875">
        <f>SUM(C10:C13)</f>
        <v>0</v>
      </c>
      <c r="D14" s="876">
        <f>SUM(D10:D13)</f>
        <v>0</v>
      </c>
      <c r="F14" s="1978" t="str">
        <f>IF(C14=Mérleg"A"!C64,"OK",Mérleg"A"!C64-'III.B.II'!C14)</f>
        <v>OK</v>
      </c>
      <c r="G14" s="1978" t="str">
        <f>IF(D14=Mérleg"A"!E64,"OK",Mérleg"A"!E64-'III.B.II'!D14)</f>
        <v>OK</v>
      </c>
    </row>
    <row r="15" spans="1:4" s="857" customFormat="1" ht="19.5" customHeight="1" hidden="1">
      <c r="A15" s="1642"/>
      <c r="B15" s="1637"/>
      <c r="C15" s="1638"/>
      <c r="D15" s="1639"/>
    </row>
    <row r="16" spans="1:4" s="857" customFormat="1" ht="19.5" customHeight="1">
      <c r="A16" s="1643"/>
      <c r="B16" s="1051"/>
      <c r="C16" s="1640"/>
      <c r="D16" s="1641"/>
    </row>
    <row r="17" spans="1:4" s="857" customFormat="1" ht="19.5" customHeight="1">
      <c r="A17" s="1643"/>
      <c r="B17" s="1051"/>
      <c r="C17" s="1640"/>
      <c r="D17" s="1641"/>
    </row>
    <row r="18" spans="1:4" s="857" customFormat="1" ht="19.5" customHeight="1" thickBot="1">
      <c r="A18" s="1644"/>
      <c r="B18" s="1053"/>
      <c r="C18" s="1635"/>
      <c r="D18" s="1636"/>
    </row>
    <row r="19" spans="1:7" s="857" customFormat="1" ht="19.5" customHeight="1" thickBot="1">
      <c r="A19" s="2331" t="s">
        <v>1586</v>
      </c>
      <c r="B19" s="2332"/>
      <c r="C19" s="875">
        <f>SUM(C15:C18)</f>
        <v>0</v>
      </c>
      <c r="D19" s="876">
        <f>SUM(D15:D18)</f>
        <v>0</v>
      </c>
      <c r="F19" s="1978" t="str">
        <f>IF(C19=Mérleg"A"!C65,"OK",Mérleg"A"!C65-'III.B.II'!C19)</f>
        <v>OK</v>
      </c>
      <c r="G19" s="1978" t="str">
        <f>IF(D19=Mérleg"A"!E65,"OK",Mérleg"A"!E65-'III.B.II'!D19)</f>
        <v>OK</v>
      </c>
    </row>
    <row r="20" spans="1:4" s="857" customFormat="1" ht="19.5" customHeight="1" hidden="1">
      <c r="A20" s="1642"/>
      <c r="B20" s="1637"/>
      <c r="C20" s="1638"/>
      <c r="D20" s="1639"/>
    </row>
    <row r="21" spans="1:4" s="857" customFormat="1" ht="19.5" customHeight="1">
      <c r="A21" s="1643"/>
      <c r="B21" s="1051"/>
      <c r="C21" s="1640"/>
      <c r="D21" s="1641"/>
    </row>
    <row r="22" spans="1:4" s="857" customFormat="1" ht="19.5" customHeight="1">
      <c r="A22" s="1643"/>
      <c r="B22" s="1051"/>
      <c r="C22" s="1640"/>
      <c r="D22" s="1641"/>
    </row>
    <row r="23" spans="1:4" s="857" customFormat="1" ht="19.5" customHeight="1" thickBot="1">
      <c r="A23" s="1644"/>
      <c r="B23" s="1053"/>
      <c r="C23" s="1635"/>
      <c r="D23" s="1636"/>
    </row>
    <row r="24" spans="1:7" s="857" customFormat="1" ht="19.5" customHeight="1" thickBot="1">
      <c r="A24" s="2331" t="s">
        <v>221</v>
      </c>
      <c r="B24" s="2332"/>
      <c r="C24" s="875">
        <f>SUM(C20:C23)</f>
        <v>0</v>
      </c>
      <c r="D24" s="876">
        <f>SUM(D20:D23)</f>
        <v>0</v>
      </c>
      <c r="F24" s="1978" t="str">
        <f>IF(C24=Mérleg"A"!C66,"OK",Mérleg"A"!C66-'III.B.II'!C24)</f>
        <v>OK</v>
      </c>
      <c r="G24" s="1978" t="str">
        <f>IF(D24=Mérleg"A"!E66,"OK",Mérleg"A"!E66-'III.B.II'!D24)</f>
        <v>OK</v>
      </c>
    </row>
    <row r="25" spans="1:4" s="857" customFormat="1" ht="19.5" customHeight="1" hidden="1">
      <c r="A25" s="1642"/>
      <c r="B25" s="1637"/>
      <c r="C25" s="1638"/>
      <c r="D25" s="1639"/>
    </row>
    <row r="26" spans="1:4" s="857" customFormat="1" ht="19.5" customHeight="1">
      <c r="A26" s="1643"/>
      <c r="B26" s="1051"/>
      <c r="C26" s="1640"/>
      <c r="D26" s="1641"/>
    </row>
    <row r="27" spans="1:4" s="857" customFormat="1" ht="19.5" customHeight="1">
      <c r="A27" s="1643"/>
      <c r="B27" s="1051"/>
      <c r="C27" s="1640"/>
      <c r="D27" s="1641"/>
    </row>
    <row r="28" spans="1:4" s="857" customFormat="1" ht="19.5" customHeight="1" thickBot="1">
      <c r="A28" s="1644"/>
      <c r="B28" s="1053"/>
      <c r="C28" s="1635"/>
      <c r="D28" s="1636"/>
    </row>
    <row r="29" spans="1:7" s="857" customFormat="1" ht="19.5" customHeight="1" thickBot="1">
      <c r="A29" s="2331" t="s">
        <v>222</v>
      </c>
      <c r="B29" s="2332"/>
      <c r="C29" s="875">
        <f>SUM(C25:C28)</f>
        <v>0</v>
      </c>
      <c r="D29" s="876">
        <f>SUM(D25:D28)</f>
        <v>0</v>
      </c>
      <c r="F29" s="1978" t="str">
        <f>IF(C29=Mérleg"A"!C67,"OK",Mérleg"A"!C67-'III.B.II'!C29)</f>
        <v>OK</v>
      </c>
      <c r="G29" s="1978" t="str">
        <f>IF(D29=Mérleg"A"!E67,"OK",Mérleg"A"!E67-'III.B.II'!D29)</f>
        <v>OK</v>
      </c>
    </row>
    <row r="30" ht="19.5" customHeight="1" thickBot="1">
      <c r="A30" s="398"/>
    </row>
    <row r="31" spans="1:7" ht="19.5" customHeight="1" thickBot="1">
      <c r="A31" s="2331" t="s">
        <v>804</v>
      </c>
      <c r="B31" s="2332"/>
      <c r="C31" s="875">
        <f>SUM(C9,C14,C19,C24,C29)</f>
        <v>0</v>
      </c>
      <c r="D31" s="876">
        <f>SUM(D9,D14,D19,D24,D29)</f>
        <v>0</v>
      </c>
      <c r="F31" s="1978" t="str">
        <f>IF(C31=Mérleg"A"!C62,"OK",Mérleg"A"!C62-'III.B.II'!C31)</f>
        <v>OK</v>
      </c>
      <c r="G31" s="1978" t="str">
        <f>IF(D31=Mérleg"A"!E62,"OK",Mérleg"A"!E62-'III.B.II'!D31)</f>
        <v>OK</v>
      </c>
    </row>
    <row r="32" ht="12.75">
      <c r="A32" s="398"/>
    </row>
  </sheetData>
  <mergeCells count="7">
    <mergeCell ref="A8:B8"/>
    <mergeCell ref="A31:B31"/>
    <mergeCell ref="A29:B29"/>
    <mergeCell ref="A9:B9"/>
    <mergeCell ref="A14:B14"/>
    <mergeCell ref="A19:B19"/>
    <mergeCell ref="A24:B24"/>
  </mergeCells>
  <printOptions horizontalCentered="1"/>
  <pageMargins left="0.7874015748031497" right="0.7874015748031497" top="0.5905511811023623" bottom="0.61" header="0.3937007874015748" footer="0.4"/>
  <pageSetup horizontalDpi="600" verticalDpi="600" orientation="portrait" paperSize="9" r:id="rId2"/>
  <headerFooter alignWithMargins="0">
    <oddFooter>&amp;C&amp;P/&amp;N&amp;R&amp;A</oddFooter>
  </headerFooter>
  <drawing r:id="rId1"/>
</worksheet>
</file>

<file path=xl/worksheets/sheet3.xml><?xml version="1.0" encoding="utf-8"?>
<worksheet xmlns="http://schemas.openxmlformats.org/spreadsheetml/2006/main" xmlns:r="http://schemas.openxmlformats.org/officeDocument/2006/relationships">
  <sheetPr codeName="Munka3"/>
  <dimension ref="A3:U109"/>
  <sheetViews>
    <sheetView showGridLines="0" tabSelected="1" workbookViewId="0" topLeftCell="A7">
      <selection activeCell="Z39" sqref="Z39"/>
    </sheetView>
  </sheetViews>
  <sheetFormatPr defaultColWidth="9.00390625" defaultRowHeight="12.75"/>
  <cols>
    <col min="1" max="17" width="2.75390625" style="4" customWidth="1"/>
    <col min="18" max="20" width="9.125" style="4" customWidth="1"/>
    <col min="21" max="21" width="11.75390625" style="4" customWidth="1"/>
    <col min="22" max="16384" width="9.125" style="4" customWidth="1"/>
  </cols>
  <sheetData>
    <row r="2" ht="13.5" thickBot="1"/>
    <row r="3" spans="1:17" ht="13.5" thickBot="1">
      <c r="A3" s="20" t="str">
        <f>MID(Általános!$B$8,1,1)</f>
        <v>1</v>
      </c>
      <c r="B3" s="21" t="str">
        <f>MID(Általános!$B$8,2,1)</f>
        <v>1</v>
      </c>
      <c r="C3" s="21" t="str">
        <f>MID(Általános!$B$8,3,1)</f>
        <v>1</v>
      </c>
      <c r="D3" s="21" t="str">
        <f>MID(Általános!$B$8,4,1)</f>
        <v>8</v>
      </c>
      <c r="E3" s="21" t="str">
        <f>MID(Általános!$B$8,5,1)</f>
        <v>3</v>
      </c>
      <c r="F3" s="21" t="str">
        <f>MID(Általános!$B$8,6,1)</f>
        <v>8</v>
      </c>
      <c r="G3" s="21" t="str">
        <f>MID(Általános!$B$8,7,1)</f>
        <v>5</v>
      </c>
      <c r="H3" s="21" t="str">
        <f>MID(Általános!$B$8,8,1)</f>
        <v>5</v>
      </c>
      <c r="I3" s="20" t="str">
        <f>MID(Általános!$B$8,9,1)</f>
        <v>3</v>
      </c>
      <c r="J3" s="21" t="str">
        <f>MID(Általános!$B$8,10,1)</f>
        <v>5</v>
      </c>
      <c r="K3" s="21" t="str">
        <f>MID(Általános!$B$8,11,1)</f>
        <v>3</v>
      </c>
      <c r="L3" s="21" t="str">
        <f>MID(Általános!$B$8,12,1)</f>
        <v>0</v>
      </c>
      <c r="M3" s="20" t="str">
        <f>MID(Általános!$B$8,13,1)</f>
        <v>1</v>
      </c>
      <c r="N3" s="21" t="str">
        <f>MID(Általános!$B$8,14,1)</f>
        <v>1</v>
      </c>
      <c r="O3" s="21" t="str">
        <f>MID(Általános!$B$8,15,1)</f>
        <v>3</v>
      </c>
      <c r="P3" s="20" t="str">
        <f>MID(Általános!$B$8,16,1)</f>
        <v>1</v>
      </c>
      <c r="Q3" s="22" t="str">
        <f>MID(Általános!$B$8,17,1)</f>
        <v>1</v>
      </c>
    </row>
    <row r="4" spans="1:17" ht="12.75">
      <c r="A4" s="45" t="str">
        <f>IF(Általános!$B$19=Általános!$F$8,GLOBAL!B7,IF(Általános!$B$19=Általános!$F$9,GLOBAL!C7,IF(Általános!$B$19=Általános!$F$10,GLOBAL!D7)))</f>
        <v>Statitsztikai számjel</v>
      </c>
      <c r="B4" s="28"/>
      <c r="C4" s="28"/>
      <c r="D4" s="28"/>
      <c r="E4" s="28"/>
      <c r="F4" s="28"/>
      <c r="G4" s="28"/>
      <c r="H4" s="28"/>
      <c r="I4" s="28"/>
      <c r="J4" s="28"/>
      <c r="K4" s="28"/>
      <c r="L4" s="28"/>
      <c r="M4" s="28"/>
      <c r="N4" s="28"/>
      <c r="O4" s="28"/>
      <c r="P4" s="28"/>
      <c r="Q4" s="28"/>
    </row>
    <row r="5" ht="13.5" thickBot="1"/>
    <row r="6" spans="1:17" ht="13.5" thickBot="1">
      <c r="A6" s="20" t="str">
        <f>MID(Általános!$B$10,1,1)</f>
        <v>1</v>
      </c>
      <c r="B6" s="21" t="str">
        <f>MID(Általános!$B$10,2,1)</f>
        <v>1</v>
      </c>
      <c r="C6" s="21" t="str">
        <f>MID(Általános!$B$10,3,1)</f>
        <v>-</v>
      </c>
      <c r="D6" s="21" t="str">
        <f>MID(Általános!$B$10,4,1)</f>
        <v>0</v>
      </c>
      <c r="E6" s="21" t="str">
        <f>MID(Általános!$B$10,5,1)</f>
        <v>9</v>
      </c>
      <c r="F6" s="21" t="str">
        <f>MID(Általános!$B$10,6,1)</f>
        <v>-</v>
      </c>
      <c r="G6" s="21" t="str">
        <f>MID(Általános!$B$10,7,1)</f>
        <v>0</v>
      </c>
      <c r="H6" s="21" t="str">
        <f>MID(Általános!$B$10,8,1)</f>
        <v>0</v>
      </c>
      <c r="I6" s="21" t="str">
        <f>MID(Általános!$B$10,9,1)</f>
        <v>2</v>
      </c>
      <c r="J6" s="21" t="str">
        <f>MID(Általános!$B$10,10,1)</f>
        <v>7</v>
      </c>
      <c r="K6" s="21" t="str">
        <f>MID(Általános!$B$10,11,1)</f>
        <v>0</v>
      </c>
      <c r="L6" s="22" t="str">
        <f>MID(Általános!$B$10,12,1)</f>
        <v>0</v>
      </c>
      <c r="M6" s="46"/>
      <c r="N6" s="46"/>
      <c r="O6" s="46"/>
      <c r="P6" s="46"/>
      <c r="Q6" s="46"/>
    </row>
    <row r="7" spans="1:12" ht="12.75">
      <c r="A7" s="45" t="str">
        <f>IF(Általános!$B$19=Általános!$F$8,GLOBAL!B8,IF(Általános!$B$19=Általános!$F$9,GLOBAL!C8,IF(Általános!$B$19=Általános!$F$10,GLOBAL!D8)))</f>
        <v>Cégjegyzék szám</v>
      </c>
      <c r="B7" s="28"/>
      <c r="C7" s="28"/>
      <c r="D7" s="28"/>
      <c r="E7" s="28"/>
      <c r="F7" s="28"/>
      <c r="G7" s="47"/>
      <c r="H7" s="28"/>
      <c r="I7" s="28"/>
      <c r="J7" s="28"/>
      <c r="K7" s="28"/>
      <c r="L7" s="28"/>
    </row>
    <row r="9" spans="1:12" ht="12.75">
      <c r="A9" s="4" t="str">
        <f>IF(Általános!$B$19=Általános!$F$8,GLOBAL!B9,IF(Általános!$B$19=Általános!$F$9,GLOBAL!C9,IF(Általános!$B$19=Általános!$F$10,GLOBAL!D9)))</f>
        <v>Adószám</v>
      </c>
      <c r="L9" s="23" t="str">
        <f>Általános!$B$9</f>
        <v>11183855-2-11</v>
      </c>
    </row>
    <row r="12" spans="1:21" ht="12.75">
      <c r="A12" s="4" t="str">
        <f>IF(Általános!$B$19=Általános!$F$8,GLOBAL!B10,IF(Általános!$B$19=Általános!$F$9,GLOBAL!C10,IF(Általános!$B$19=Általános!$F$10,GLOBAL!D10)))</f>
        <v>A vállalkozás megnevezése</v>
      </c>
      <c r="B12" s="94"/>
      <c r="C12" s="1"/>
      <c r="D12" s="1"/>
      <c r="E12" s="1"/>
      <c r="F12" s="1"/>
      <c r="G12" s="1"/>
      <c r="H12" s="1"/>
      <c r="I12" s="1"/>
      <c r="J12" s="1"/>
      <c r="K12" s="1"/>
      <c r="L12" s="339" t="str">
        <f>IF(Általános!$B$19=Általános!$F$8,Általános!B5,Általános!C5)</f>
        <v>Komáromi Távhő Kft</v>
      </c>
      <c r="M12" s="24"/>
      <c r="N12" s="24"/>
      <c r="O12" s="24"/>
      <c r="P12" s="24"/>
      <c r="Q12" s="24"/>
      <c r="R12" s="24"/>
      <c r="S12" s="24"/>
      <c r="T12" s="24"/>
      <c r="U12" s="24"/>
    </row>
    <row r="16" spans="1:21" ht="12.75">
      <c r="A16" s="93" t="str">
        <f>IF(Általános!$B$19=Általános!$F$8,GLOBAL!B11,IF(Általános!$B$19=Általános!$F$9,GLOBAL!C11,IF(Általános!$B$19=Általános!$F$10,GLOBAL!D11)))</f>
        <v>A vállalkozás székhelye</v>
      </c>
      <c r="B16" s="1"/>
      <c r="C16" s="1"/>
      <c r="D16" s="1"/>
      <c r="E16" s="1"/>
      <c r="F16" s="1"/>
      <c r="G16" s="1"/>
      <c r="H16" s="1"/>
      <c r="I16" s="1"/>
      <c r="J16" s="1"/>
      <c r="K16" s="1"/>
      <c r="L16" s="26" t="str">
        <f>Általános!$B$7</f>
        <v>2900 Komárom, Csokonai út 2.</v>
      </c>
      <c r="M16" s="24"/>
      <c r="N16" s="24"/>
      <c r="O16" s="24"/>
      <c r="P16" s="24"/>
      <c r="Q16" s="24"/>
      <c r="R16" s="24"/>
      <c r="S16" s="24"/>
      <c r="T16" s="24"/>
      <c r="U16" s="24"/>
    </row>
    <row r="20" ht="12.75">
      <c r="M20" s="19"/>
    </row>
    <row r="21" ht="12.75">
      <c r="N21" s="19"/>
    </row>
    <row r="24" spans="1:21" ht="15.75">
      <c r="A24" s="27"/>
      <c r="B24" s="28"/>
      <c r="C24" s="28"/>
      <c r="D24" s="28"/>
      <c r="E24" s="28"/>
      <c r="F24" s="28"/>
      <c r="G24" s="28"/>
      <c r="H24" s="28"/>
      <c r="I24" s="28"/>
      <c r="J24" s="28"/>
      <c r="K24" s="28"/>
      <c r="L24" s="28"/>
      <c r="M24" s="28"/>
      <c r="N24" s="28"/>
      <c r="O24" s="28"/>
      <c r="P24" s="28"/>
      <c r="Q24" s="28"/>
      <c r="R24" s="28"/>
      <c r="S24" s="28"/>
      <c r="T24" s="28"/>
      <c r="U24" s="28"/>
    </row>
    <row r="26" spans="1:21" ht="25.5" customHeight="1">
      <c r="A26" s="29" t="str">
        <f>IF(AND(Általános!$B$19=Általános!$F$8,Általános!B17=Általános!F5),GLOBAL!B18,IF(AND(Általános!$B$19=Általános!$F$8,Általános!B17=Általános!F6),GLOBAL!B19,IF(AND(Általános!$B$19=Általános!$F$9,Általános!B17=Általános!F5),GLOBAL!C18,IF(AND(Általános!$B$19=Általános!$F$9,Általános!B17=Általános!F6),GLOBAL!C19,IF(AND(Általános!$B$19=Általános!$F$10,Általános!B17=Általános!F5),GLOBAL!D18,IF(AND(Általános!$B$19=Általános!$F$10,Általános!B17=Általános!F6),GLOBAL!D19))))))</f>
        <v>Egyszerűsített éves beszámoló</v>
      </c>
      <c r="B26" s="30"/>
      <c r="C26" s="30"/>
      <c r="D26" s="30"/>
      <c r="E26" s="30"/>
      <c r="F26" s="30"/>
      <c r="G26" s="30"/>
      <c r="H26" s="30"/>
      <c r="I26" s="30"/>
      <c r="J26" s="30"/>
      <c r="K26" s="337"/>
      <c r="L26" s="30"/>
      <c r="M26" s="30"/>
      <c r="N26" s="30"/>
      <c r="O26" s="30"/>
      <c r="P26" s="30"/>
      <c r="Q26" s="30"/>
      <c r="R26" s="30"/>
      <c r="S26" s="30"/>
      <c r="T26" s="30"/>
      <c r="U26" s="30"/>
    </row>
    <row r="27" ht="12.75" customHeight="1"/>
    <row r="28" spans="1:21" ht="25.5" customHeight="1">
      <c r="A28" s="338" t="str">
        <f>IF(Általános!$B$19=Általános!$F$8,Általános!B15,IF(Általános!$B$19=Általános!$F$9,GLOBAL!C4,IF(Általános!$B$19=Általános!$F$10,GLOBAL!D4)))</f>
        <v>2016. december 31.Hőszolgáltatás </v>
      </c>
      <c r="B28" s="28"/>
      <c r="C28" s="28"/>
      <c r="D28" s="28"/>
      <c r="E28" s="28"/>
      <c r="F28" s="28"/>
      <c r="G28" s="28"/>
      <c r="H28" s="28"/>
      <c r="I28" s="28"/>
      <c r="J28" s="28"/>
      <c r="K28" s="28"/>
      <c r="L28" s="28"/>
      <c r="M28" s="28"/>
      <c r="N28" s="28"/>
      <c r="O28" s="28"/>
      <c r="P28" s="28"/>
      <c r="Q28" s="28"/>
      <c r="R28" s="28"/>
      <c r="S28" s="28"/>
      <c r="T28" s="28"/>
      <c r="U28" s="28"/>
    </row>
    <row r="29" ht="12.75" customHeight="1"/>
    <row r="30" spans="1:21" ht="25.5" customHeight="1">
      <c r="A30" s="29" t="str">
        <f>IF(Általános!$B$19=Általános!$F$8,"üzleti évről",IF(Általános!$B$19=Általános!$F$9,Általános!B15,IF(Általános!$B$19=Általános!$F$10,Általános!B15)))</f>
        <v>üzleti évről</v>
      </c>
      <c r="B30" s="28"/>
      <c r="C30" s="28"/>
      <c r="D30" s="28"/>
      <c r="E30" s="28"/>
      <c r="F30" s="28"/>
      <c r="G30" s="28"/>
      <c r="H30" s="28"/>
      <c r="I30" s="28"/>
      <c r="J30" s="28"/>
      <c r="K30" s="28"/>
      <c r="L30" s="28"/>
      <c r="M30" s="28"/>
      <c r="N30" s="28"/>
      <c r="O30" s="28"/>
      <c r="P30" s="28"/>
      <c r="Q30" s="28"/>
      <c r="R30" s="28"/>
      <c r="S30" s="28"/>
      <c r="T30" s="28"/>
      <c r="U30" s="28"/>
    </row>
    <row r="31" ht="15.75">
      <c r="M31" s="31"/>
    </row>
    <row r="32" spans="1:21" ht="15">
      <c r="A32" s="123" t="str">
        <f>IF(AND(UPPER(Általános!B16)="IGEN",Általános!B19=Általános!F8),GLOBAL!B12,IF(AND(UPPER(Általános!B16)="NEM",Általános!B19=Általános!F8),GLOBAL!B13,IF(AND(UPPER(Általános!B16)="IGEN",Általános!B19=Általános!F9),GLOBAL!C12,IF(AND(UPPER(Általános!B16)="NEM",Általános!B19=Általános!F9),GLOBAL!C13,IF(AND(UPPER(Általános!B16)="IGEN",Általános!B19=Általános!F10),GLOBAL!D12,IF(AND(UPPER(Általános!B16)="NEM",Általános!B19=Általános!F10),GLOBAL!D13))))))</f>
        <v>A közzétett adatokat könyvvizsgáló ellenőrizte</v>
      </c>
      <c r="B32" s="123"/>
      <c r="C32" s="123"/>
      <c r="D32" s="123"/>
      <c r="E32" s="123"/>
      <c r="F32" s="123"/>
      <c r="G32" s="123"/>
      <c r="H32" s="123"/>
      <c r="I32" s="123"/>
      <c r="J32" s="123"/>
      <c r="K32" s="123"/>
      <c r="L32" s="123"/>
      <c r="M32" s="123"/>
      <c r="N32" s="123"/>
      <c r="O32" s="123"/>
      <c r="P32" s="123"/>
      <c r="Q32" s="123"/>
      <c r="R32" s="123"/>
      <c r="S32" s="123"/>
      <c r="T32" s="123"/>
      <c r="U32" s="123"/>
    </row>
    <row r="44" spans="1:21" ht="12.75">
      <c r="A44" s="28" t="str">
        <f>IF(Általános!$B$19=Általános!$F$8,GLOBAL!B15,IF(Általános!$B$19=Általános!$F$9,GLOBAL!C15,IF(Általános!$B$19=Általános!$F$10,GLOBAL!D15)))</f>
        <v>      P.H.</v>
      </c>
      <c r="B44" s="28"/>
      <c r="C44" s="28"/>
      <c r="D44" s="28"/>
      <c r="E44" s="28"/>
      <c r="F44" s="28"/>
      <c r="G44" s="28"/>
      <c r="H44" s="28"/>
      <c r="I44" s="28"/>
      <c r="J44" s="28"/>
      <c r="K44" s="28"/>
      <c r="L44" s="28"/>
      <c r="M44" s="28"/>
      <c r="N44" s="28"/>
      <c r="O44" s="28"/>
      <c r="P44" s="28"/>
      <c r="Q44" s="28"/>
      <c r="R44" s="28"/>
      <c r="S44" s="28"/>
      <c r="T44" s="28"/>
      <c r="U44" s="28"/>
    </row>
    <row r="47" spans="2:21" ht="12.75">
      <c r="B47" s="1" t="str">
        <f>IF(Általános!$B$19=Általános!$F$8,GLOBAL!B14,IF(Általános!$B$19=Általános!$F$9,GLOBAL!C14,IF(Általános!$B$19=Általános!$F$10,GLOBAL!D14)))</f>
        <v>Keltezés:</v>
      </c>
      <c r="E47" s="341" t="str">
        <f>IF(Általános!$B$19=Általános!$F$8,Általános!B13,Általános!C13)</f>
        <v>Komárom, 2016.04.29.</v>
      </c>
      <c r="F47" s="24"/>
      <c r="G47" s="24"/>
      <c r="H47" s="24"/>
      <c r="I47" s="24"/>
      <c r="J47" s="24"/>
      <c r="K47" s="24"/>
      <c r="L47" s="24"/>
      <c r="M47" s="24"/>
      <c r="N47" s="24"/>
      <c r="O47" s="24"/>
      <c r="Q47" s="24"/>
      <c r="R47" s="24"/>
      <c r="S47" s="24"/>
      <c r="T47" s="24"/>
      <c r="U47" s="24"/>
    </row>
    <row r="48" spans="17:21" ht="15" customHeight="1">
      <c r="Q48" s="28" t="str">
        <f>IF(Általános!$B$19=Általános!$F$8,GLOBAL!B16,IF(Általános!$B$19=Általános!$F$9,GLOBAL!C16,IF(Általános!$B$19=Általános!$F$10,GLOBAL!D16)))</f>
        <v>vállalakozás vezetője</v>
      </c>
      <c r="R48" s="28"/>
      <c r="S48" s="28"/>
      <c r="T48" s="28"/>
      <c r="U48" s="28"/>
    </row>
    <row r="49" spans="17:21" ht="12.75">
      <c r="Q49" s="28" t="str">
        <f>IF(Általános!$B$19=Általános!$F$8,GLOBAL!B17,IF(Általános!$B$19=Általános!$F$9,GLOBAL!C17,IF(Általános!$B$19=Általános!$F$10,GLOBAL!D17)))</f>
        <v>(képviselője)</v>
      </c>
      <c r="R49" s="28"/>
      <c r="S49" s="28"/>
      <c r="T49" s="28"/>
      <c r="U49" s="28"/>
    </row>
    <row r="62" ht="12.75">
      <c r="E62" s="4">
        <v>2732</v>
      </c>
    </row>
    <row r="63" ht="12.75">
      <c r="E63" s="4">
        <v>16752</v>
      </c>
    </row>
    <row r="69" ht="12.75">
      <c r="E69" s="4">
        <v>2420</v>
      </c>
    </row>
    <row r="73" ht="12.75">
      <c r="E73" s="4">
        <v>383</v>
      </c>
    </row>
    <row r="105" ht="12.75">
      <c r="E105" s="4">
        <v>38669</v>
      </c>
    </row>
    <row r="109" ht="12.75">
      <c r="E109" s="4">
        <v>-5551</v>
      </c>
    </row>
  </sheetData>
  <sheetProtection/>
  <printOptions horizont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30.xml><?xml version="1.0" encoding="utf-8"?>
<worksheet xmlns="http://schemas.openxmlformats.org/spreadsheetml/2006/main" xmlns:r="http://schemas.openxmlformats.org/officeDocument/2006/relationships">
  <sheetPr codeName="Munka20"/>
  <dimension ref="A1:I18"/>
  <sheetViews>
    <sheetView workbookViewId="0" topLeftCell="A1">
      <selection activeCell="F5" sqref="F5"/>
    </sheetView>
  </sheetViews>
  <sheetFormatPr defaultColWidth="9.00390625" defaultRowHeight="12.75"/>
  <cols>
    <col min="1" max="1" width="37.00390625" style="521" customWidth="1"/>
    <col min="2" max="2" width="10.625" style="521" customWidth="1"/>
    <col min="3" max="3" width="10.75390625" style="521" customWidth="1"/>
    <col min="4" max="4" width="12.625" style="521" customWidth="1"/>
    <col min="5" max="5" width="20.625" style="521" customWidth="1"/>
    <col min="6" max="6" width="15.375" style="521" customWidth="1"/>
    <col min="7" max="7" width="16.00390625" style="521" customWidth="1"/>
    <col min="8" max="16384" width="9.125" style="521" customWidth="1"/>
  </cols>
  <sheetData>
    <row r="1" spans="1:7" s="372" customFormat="1" ht="15">
      <c r="A1" s="387" t="str">
        <f>'III.A.I-II'!A1</f>
        <v>Komáromi Távhő Kft</v>
      </c>
      <c r="B1" s="470"/>
      <c r="C1" s="470"/>
      <c r="D1" s="470"/>
      <c r="G1" s="389" t="str">
        <f>'III.A.I-II'!R1</f>
        <v>Kiegészítő melléklet 2016. december 31.Hőszolgáltatás </v>
      </c>
    </row>
    <row r="2" spans="1:7" s="372" customFormat="1" ht="15">
      <c r="A2" s="387"/>
      <c r="B2" s="470"/>
      <c r="C2" s="470"/>
      <c r="D2" s="470"/>
      <c r="G2" s="389" t="str">
        <f>'III.A.I-II'!R2</f>
        <v>III. Mérleghez és eredménykimutatáshoz kapcsolódó kiegészítések</v>
      </c>
    </row>
    <row r="3" spans="1:7" s="372" customFormat="1" ht="15">
      <c r="A3" s="387"/>
      <c r="B3" s="470"/>
      <c r="C3" s="470"/>
      <c r="D3" s="470"/>
      <c r="G3" s="389"/>
    </row>
    <row r="4" spans="1:9" s="688" customFormat="1" ht="14.25" customHeight="1">
      <c r="A4" s="411" t="str">
        <f>'III.A.I-II'!A3</f>
        <v>A közzétett adatokat könyvvizsgáló ellenőrizte</v>
      </c>
      <c r="B4" s="411"/>
      <c r="C4" s="411"/>
      <c r="D4" s="411"/>
      <c r="E4" s="411"/>
      <c r="F4" s="411"/>
      <c r="G4" s="411"/>
      <c r="H4" s="747"/>
      <c r="I4" s="747"/>
    </row>
    <row r="5" s="388" customFormat="1" ht="12.75"/>
    <row r="6" spans="1:7" s="388" customFormat="1" ht="18">
      <c r="A6" s="532" t="s">
        <v>18</v>
      </c>
      <c r="B6" s="393"/>
      <c r="C6" s="393"/>
      <c r="D6" s="393"/>
      <c r="E6" s="393"/>
      <c r="F6" s="393"/>
      <c r="G6" s="393"/>
    </row>
    <row r="7" s="388" customFormat="1" ht="12.75"/>
    <row r="8" spans="1:7" s="628" customFormat="1" ht="16.5">
      <c r="A8" s="840" t="s">
        <v>1562</v>
      </c>
      <c r="B8" s="393"/>
      <c r="C8" s="393"/>
      <c r="D8" s="393"/>
      <c r="E8" s="393"/>
      <c r="F8" s="393"/>
      <c r="G8" s="393"/>
    </row>
    <row r="9" ht="13.5" thickBot="1"/>
    <row r="10" spans="1:7" ht="30" customHeight="1">
      <c r="A10" s="2339" t="s">
        <v>51</v>
      </c>
      <c r="B10" s="2276" t="s">
        <v>52</v>
      </c>
      <c r="C10" s="2342" t="s">
        <v>53</v>
      </c>
      <c r="D10" s="2342"/>
      <c r="E10" s="966" t="s">
        <v>54</v>
      </c>
      <c r="F10" s="2276" t="s">
        <v>606</v>
      </c>
      <c r="G10" s="2337" t="s">
        <v>55</v>
      </c>
    </row>
    <row r="11" spans="1:7" ht="21" customHeight="1">
      <c r="A11" s="2340"/>
      <c r="B11" s="2341"/>
      <c r="C11" s="853" t="s">
        <v>56</v>
      </c>
      <c r="D11" s="853" t="s">
        <v>50</v>
      </c>
      <c r="E11" s="854" t="s">
        <v>1563</v>
      </c>
      <c r="F11" s="2341"/>
      <c r="G11" s="2338"/>
    </row>
    <row r="12" spans="1:7" ht="19.5" customHeight="1">
      <c r="A12" s="967"/>
      <c r="B12" s="968"/>
      <c r="C12" s="968"/>
      <c r="D12" s="968">
        <f aca="true" t="shared" si="0" ref="D12:D17">B12*C12</f>
        <v>0</v>
      </c>
      <c r="E12" s="970">
        <f>IF(EgyszÉvesMérleg"A"!E53=0,0,D12/EgyszÉvesMérleg"A"!E53*1000)</f>
        <v>0</v>
      </c>
      <c r="F12" s="968"/>
      <c r="G12" s="969"/>
    </row>
    <row r="13" spans="1:7" ht="19.5" customHeight="1">
      <c r="A13" s="967"/>
      <c r="B13" s="968"/>
      <c r="C13" s="968"/>
      <c r="D13" s="968">
        <f t="shared" si="0"/>
        <v>0</v>
      </c>
      <c r="E13" s="970">
        <f>IF(EgyszÉvesMérleg"A"!E54=0,0,D13/EgyszÉvesMérleg"A"!E54)</f>
        <v>0</v>
      </c>
      <c r="F13" s="968"/>
      <c r="G13" s="969"/>
    </row>
    <row r="14" spans="1:7" ht="19.5" customHeight="1">
      <c r="A14" s="967"/>
      <c r="B14" s="968"/>
      <c r="C14" s="968"/>
      <c r="D14" s="968">
        <f t="shared" si="0"/>
        <v>0</v>
      </c>
      <c r="E14" s="970">
        <f>IF(EgyszÉvesMérleg"A"!E55=0,0,D14/EgyszÉvesMérleg"A"!E55)</f>
        <v>0</v>
      </c>
      <c r="F14" s="968"/>
      <c r="G14" s="969"/>
    </row>
    <row r="15" spans="1:7" ht="19.5" customHeight="1">
      <c r="A15" s="967"/>
      <c r="B15" s="968"/>
      <c r="C15" s="968"/>
      <c r="D15" s="968">
        <f t="shared" si="0"/>
        <v>0</v>
      </c>
      <c r="E15" s="970">
        <f>IF(EgyszÉvesMérleg"A"!E56=0,0,D15/EgyszÉvesMérleg"A"!E56)</f>
        <v>0</v>
      </c>
      <c r="F15" s="968"/>
      <c r="G15" s="969"/>
    </row>
    <row r="16" spans="1:7" ht="19.5" customHeight="1">
      <c r="A16" s="967"/>
      <c r="B16" s="968"/>
      <c r="C16" s="968"/>
      <c r="D16" s="968">
        <f t="shared" si="0"/>
        <v>0</v>
      </c>
      <c r="E16" s="970">
        <f>IF(EgyszÉvesMérleg"A"!E57=0,0,D16/EgyszÉvesMérleg"A"!E57)</f>
        <v>0</v>
      </c>
      <c r="F16" s="968"/>
      <c r="G16" s="969"/>
    </row>
    <row r="17" spans="1:7" ht="19.5" customHeight="1" thickBot="1">
      <c r="A17" s="971"/>
      <c r="B17" s="972"/>
      <c r="C17" s="972"/>
      <c r="D17" s="972">
        <f t="shared" si="0"/>
        <v>0</v>
      </c>
      <c r="E17" s="973">
        <f>IF(EgyszÉvesMérleg"A"!E58=0,0,D17/EgyszÉvesMérleg"A"!E58)</f>
        <v>0</v>
      </c>
      <c r="F17" s="972"/>
      <c r="G17" s="974"/>
    </row>
    <row r="18" spans="1:7" ht="19.5" customHeight="1" thickBot="1">
      <c r="A18" s="975" t="s">
        <v>602</v>
      </c>
      <c r="B18" s="976"/>
      <c r="C18" s="976"/>
      <c r="D18" s="976"/>
      <c r="E18" s="976"/>
      <c r="F18" s="977">
        <f>SUM(F12:F17)</f>
        <v>0</v>
      </c>
      <c r="G18" s="978">
        <f>SUM(G12:G17)</f>
        <v>0</v>
      </c>
    </row>
  </sheetData>
  <mergeCells count="5">
    <mergeCell ref="G10:G11"/>
    <mergeCell ref="A10:A11"/>
    <mergeCell ref="B10:B11"/>
    <mergeCell ref="C10:D10"/>
    <mergeCell ref="F10:F11"/>
  </mergeCells>
  <printOptions/>
  <pageMargins left="0.75" right="0.75" top="0.61" bottom="0.61" header="0.39" footer="0.4"/>
  <pageSetup horizontalDpi="600" verticalDpi="600" orientation="landscape" paperSize="9" r:id="rId1"/>
  <headerFooter alignWithMargins="0">
    <oddFooter>&amp;C&amp;P/&amp;N&amp;R&amp;A</oddFooter>
  </headerFooter>
</worksheet>
</file>

<file path=xl/worksheets/sheet31.xml><?xml version="1.0" encoding="utf-8"?>
<worksheet xmlns="http://schemas.openxmlformats.org/spreadsheetml/2006/main" xmlns:r="http://schemas.openxmlformats.org/officeDocument/2006/relationships">
  <sheetPr codeName="Munka42"/>
  <dimension ref="A1:I18"/>
  <sheetViews>
    <sheetView workbookViewId="0" topLeftCell="A1">
      <selection activeCell="F12" sqref="F12"/>
    </sheetView>
  </sheetViews>
  <sheetFormatPr defaultColWidth="9.00390625" defaultRowHeight="12.75"/>
  <cols>
    <col min="1" max="1" width="37.00390625" style="521" customWidth="1"/>
    <col min="2" max="2" width="10.625" style="521" customWidth="1"/>
    <col min="3" max="3" width="10.75390625" style="521" customWidth="1"/>
    <col min="4" max="4" width="12.625" style="521" customWidth="1"/>
    <col min="5" max="5" width="20.625" style="521" customWidth="1"/>
    <col min="6" max="6" width="15.375" style="521" customWidth="1"/>
    <col min="7" max="7" width="16.00390625" style="521" customWidth="1"/>
    <col min="8" max="16384" width="9.125" style="521" customWidth="1"/>
  </cols>
  <sheetData>
    <row r="1" spans="1:7" s="372" customFormat="1" ht="15">
      <c r="A1" s="387" t="str">
        <f>'III.A.I-II'!A1</f>
        <v>Komáromi Távhő Kft</v>
      </c>
      <c r="B1" s="470"/>
      <c r="C1" s="470"/>
      <c r="D1" s="470"/>
      <c r="G1" s="389" t="str">
        <f>'III.A.I-II'!R1</f>
        <v>Kiegészítő melléklet 2016. december 31.Hőszolgáltatás </v>
      </c>
    </row>
    <row r="2" spans="1:7" s="372" customFormat="1" ht="15">
      <c r="A2" s="387"/>
      <c r="B2" s="470"/>
      <c r="C2" s="470"/>
      <c r="D2" s="470"/>
      <c r="G2" s="389" t="str">
        <f>'III.A.I-II'!R2</f>
        <v>III. Mérleghez és eredménykimutatáshoz kapcsolódó kiegészítések</v>
      </c>
    </row>
    <row r="3" spans="1:7" s="372" customFormat="1" ht="15">
      <c r="A3" s="387"/>
      <c r="B3" s="470"/>
      <c r="C3" s="470"/>
      <c r="D3" s="470"/>
      <c r="G3" s="389"/>
    </row>
    <row r="4" spans="1:9" s="688" customFormat="1" ht="14.25" customHeight="1">
      <c r="A4" s="411" t="str">
        <f>'III.A.I-II'!A3</f>
        <v>A közzétett adatokat könyvvizsgáló ellenőrizte</v>
      </c>
      <c r="B4" s="411"/>
      <c r="C4" s="411"/>
      <c r="D4" s="411"/>
      <c r="E4" s="411"/>
      <c r="F4" s="411"/>
      <c r="G4" s="411"/>
      <c r="H4" s="747"/>
      <c r="I4" s="747"/>
    </row>
    <row r="5" spans="1:9" s="688" customFormat="1" ht="14.25" customHeight="1">
      <c r="A5" s="411"/>
      <c r="B5" s="411"/>
      <c r="C5" s="411"/>
      <c r="D5" s="411"/>
      <c r="E5" s="411"/>
      <c r="F5" s="411"/>
      <c r="G5" s="411"/>
      <c r="H5" s="747"/>
      <c r="I5" s="747"/>
    </row>
    <row r="6" spans="1:7" s="388" customFormat="1" ht="18">
      <c r="A6" s="532" t="s">
        <v>18</v>
      </c>
      <c r="B6" s="393"/>
      <c r="C6" s="393"/>
      <c r="D6" s="393"/>
      <c r="E6" s="393"/>
      <c r="F6" s="393"/>
      <c r="G6" s="393"/>
    </row>
    <row r="7" s="388" customFormat="1" ht="18">
      <c r="A7" s="532"/>
    </row>
    <row r="8" spans="1:7" s="628" customFormat="1" ht="16.5">
      <c r="A8" s="840" t="s">
        <v>1787</v>
      </c>
      <c r="B8" s="393"/>
      <c r="C8" s="393"/>
      <c r="D8" s="393"/>
      <c r="E8" s="393"/>
      <c r="F8" s="393"/>
      <c r="G8" s="393"/>
    </row>
    <row r="9" ht="13.5" thickBot="1"/>
    <row r="10" spans="1:7" ht="30" customHeight="1">
      <c r="A10" s="2339" t="s">
        <v>51</v>
      </c>
      <c r="B10" s="2276" t="s">
        <v>52</v>
      </c>
      <c r="C10" s="2342" t="s">
        <v>53</v>
      </c>
      <c r="D10" s="2342"/>
      <c r="E10" s="966" t="s">
        <v>54</v>
      </c>
      <c r="F10" s="2276" t="s">
        <v>606</v>
      </c>
      <c r="G10" s="2337" t="s">
        <v>55</v>
      </c>
    </row>
    <row r="11" spans="1:7" ht="21" customHeight="1">
      <c r="A11" s="2340"/>
      <c r="B11" s="2341"/>
      <c r="C11" s="853" t="s">
        <v>56</v>
      </c>
      <c r="D11" s="853" t="s">
        <v>50</v>
      </c>
      <c r="E11" s="854" t="s">
        <v>1563</v>
      </c>
      <c r="F11" s="2341"/>
      <c r="G11" s="2338"/>
    </row>
    <row r="12" spans="1:7" ht="19.5" customHeight="1">
      <c r="A12" s="967"/>
      <c r="B12" s="968"/>
      <c r="C12" s="968"/>
      <c r="D12" s="968">
        <f aca="true" t="shared" si="0" ref="D12:D17">B12*C12</f>
        <v>0</v>
      </c>
      <c r="E12" s="970">
        <f>IF(EgyszÉvesMérleg"A"!E53=0,0,D12/EgyszÉvesMérleg"A"!E53*1000)</f>
        <v>0</v>
      </c>
      <c r="F12" s="968"/>
      <c r="G12" s="969"/>
    </row>
    <row r="13" spans="1:7" ht="19.5" customHeight="1">
      <c r="A13" s="967"/>
      <c r="B13" s="968"/>
      <c r="C13" s="968"/>
      <c r="D13" s="968">
        <f t="shared" si="0"/>
        <v>0</v>
      </c>
      <c r="E13" s="970">
        <f>IF(EgyszÉvesMérleg"A"!E54=0,0,D13/EgyszÉvesMérleg"A"!E54)</f>
        <v>0</v>
      </c>
      <c r="F13" s="968"/>
      <c r="G13" s="969"/>
    </row>
    <row r="14" spans="1:7" ht="19.5" customHeight="1">
      <c r="A14" s="967"/>
      <c r="B14" s="968"/>
      <c r="C14" s="968"/>
      <c r="D14" s="968">
        <f t="shared" si="0"/>
        <v>0</v>
      </c>
      <c r="E14" s="970">
        <f>IF(EgyszÉvesMérleg"A"!E55=0,0,D14/EgyszÉvesMérleg"A"!E55)</f>
        <v>0</v>
      </c>
      <c r="F14" s="968"/>
      <c r="G14" s="969"/>
    </row>
    <row r="15" spans="1:7" ht="19.5" customHeight="1">
      <c r="A15" s="967"/>
      <c r="B15" s="968"/>
      <c r="C15" s="968"/>
      <c r="D15" s="968">
        <f t="shared" si="0"/>
        <v>0</v>
      </c>
      <c r="E15" s="970">
        <f>IF(EgyszÉvesMérleg"A"!E56=0,0,D15/EgyszÉvesMérleg"A"!E56)</f>
        <v>0</v>
      </c>
      <c r="F15" s="968"/>
      <c r="G15" s="969"/>
    </row>
    <row r="16" spans="1:7" ht="19.5" customHeight="1">
      <c r="A16" s="967"/>
      <c r="B16" s="968"/>
      <c r="C16" s="968"/>
      <c r="D16" s="968">
        <f t="shared" si="0"/>
        <v>0</v>
      </c>
      <c r="E16" s="970">
        <f>IF(EgyszÉvesMérleg"A"!E57=0,0,D16/EgyszÉvesMérleg"A"!E57)</f>
        <v>0</v>
      </c>
      <c r="F16" s="968"/>
      <c r="G16" s="969"/>
    </row>
    <row r="17" spans="1:7" ht="19.5" customHeight="1" thickBot="1">
      <c r="A17" s="971"/>
      <c r="B17" s="972"/>
      <c r="C17" s="972"/>
      <c r="D17" s="972">
        <f t="shared" si="0"/>
        <v>0</v>
      </c>
      <c r="E17" s="973">
        <f>IF(EgyszÉvesMérleg"A"!E58=0,0,D17/EgyszÉvesMérleg"A"!E58)</f>
        <v>0</v>
      </c>
      <c r="F17" s="972"/>
      <c r="G17" s="974"/>
    </row>
    <row r="18" spans="1:7" ht="19.5" customHeight="1" thickBot="1">
      <c r="A18" s="975" t="s">
        <v>602</v>
      </c>
      <c r="B18" s="976"/>
      <c r="C18" s="976"/>
      <c r="D18" s="976"/>
      <c r="E18" s="976"/>
      <c r="F18" s="977">
        <f>SUM(F12:F17)</f>
        <v>0</v>
      </c>
      <c r="G18" s="978">
        <f>SUM(G12:G17)</f>
        <v>0</v>
      </c>
    </row>
  </sheetData>
  <mergeCells count="5">
    <mergeCell ref="G10:G11"/>
    <mergeCell ref="A10:A11"/>
    <mergeCell ref="B10:B11"/>
    <mergeCell ref="C10:D10"/>
    <mergeCell ref="F10:F11"/>
  </mergeCells>
  <printOptions/>
  <pageMargins left="0.75" right="0.75" top="0.61" bottom="1" header="0.39" footer="0.5"/>
  <pageSetup horizontalDpi="600" verticalDpi="600" orientation="landscape" paperSize="9" r:id="rId1"/>
  <headerFooter alignWithMargins="0">
    <oddFooter>&amp;C&amp;P/&amp;N&amp;R&amp;A</oddFooter>
  </headerFooter>
</worksheet>
</file>

<file path=xl/worksheets/sheet32.xml><?xml version="1.0" encoding="utf-8"?>
<worksheet xmlns="http://schemas.openxmlformats.org/spreadsheetml/2006/main" xmlns:r="http://schemas.openxmlformats.org/officeDocument/2006/relationships">
  <sheetPr codeName="Munka21">
    <tabColor indexed="11"/>
  </sheetPr>
  <dimension ref="A1:G26"/>
  <sheetViews>
    <sheetView workbookViewId="0" topLeftCell="A1">
      <selection activeCell="A14" sqref="A14:B14"/>
    </sheetView>
  </sheetViews>
  <sheetFormatPr defaultColWidth="9.00390625" defaultRowHeight="12.75"/>
  <cols>
    <col min="1" max="1" width="20.75390625" style="521" customWidth="1"/>
    <col min="2" max="2" width="42.25390625" style="521" customWidth="1"/>
    <col min="3" max="4" width="10.75390625" style="521" customWidth="1"/>
    <col min="5" max="16384" width="9.125" style="521" customWidth="1"/>
  </cols>
  <sheetData>
    <row r="1" spans="1:4" s="372" customFormat="1" ht="15">
      <c r="A1" s="387" t="str">
        <f>'III.B.III.2'!A1</f>
        <v>Komáromi Távhő Kft</v>
      </c>
      <c r="B1" s="470"/>
      <c r="D1" s="389" t="str">
        <f>'III.B.III.2'!G1</f>
        <v>Kiegészítő melléklet 2016. december 31.Hőszolgáltatás </v>
      </c>
    </row>
    <row r="2" spans="1:4" s="372" customFormat="1" ht="15">
      <c r="A2" s="387"/>
      <c r="B2" s="470"/>
      <c r="D2" s="389" t="str">
        <f>'III.B.III.2'!G2</f>
        <v>III. Mérleghez és eredménykimutatáshoz kapcsolódó kiegészítések</v>
      </c>
    </row>
    <row r="3" spans="1:4" s="372" customFormat="1" ht="15">
      <c r="A3" s="387"/>
      <c r="B3" s="470"/>
      <c r="D3" s="389"/>
    </row>
    <row r="4" spans="1:4" s="372" customFormat="1" ht="14.25" customHeight="1">
      <c r="A4" s="411" t="str">
        <f>'III.B.III.2'!A4</f>
        <v>A közzétett adatokat könyvvizsgáló ellenőrizte</v>
      </c>
      <c r="B4" s="411"/>
      <c r="C4" s="411"/>
      <c r="D4" s="411"/>
    </row>
    <row r="5" ht="12.75"/>
    <row r="6" spans="1:4" ht="18">
      <c r="A6" s="532" t="s">
        <v>314</v>
      </c>
      <c r="B6" s="393"/>
      <c r="C6" s="393"/>
      <c r="D6" s="393"/>
    </row>
    <row r="7" spans="1:4" ht="13.5" thickBot="1">
      <c r="A7" s="1603"/>
      <c r="B7" s="1603"/>
      <c r="C7" s="388"/>
      <c r="D7" s="1604" t="str">
        <f>'III.A.I-II'!R10</f>
        <v>Adatok E Ft-ban</v>
      </c>
    </row>
    <row r="8" spans="1:4" s="585" customFormat="1" ht="21" customHeight="1" thickBot="1">
      <c r="A8" s="2343" t="s">
        <v>41</v>
      </c>
      <c r="B8" s="2344"/>
      <c r="C8" s="2347" t="s">
        <v>43</v>
      </c>
      <c r="D8" s="2348"/>
    </row>
    <row r="9" spans="1:7" s="585" customFormat="1" ht="21" customHeight="1" thickBot="1">
      <c r="A9" s="2345"/>
      <c r="B9" s="2346"/>
      <c r="C9" s="1784" t="s">
        <v>603</v>
      </c>
      <c r="D9" s="1780" t="s">
        <v>922</v>
      </c>
      <c r="F9" s="1981" t="s">
        <v>603</v>
      </c>
      <c r="G9" s="1982" t="s">
        <v>922</v>
      </c>
    </row>
    <row r="10" spans="1:4" s="586" customFormat="1" ht="21" customHeight="1" hidden="1" thickTop="1">
      <c r="A10" s="1667"/>
      <c r="B10" s="1668"/>
      <c r="C10" s="1785"/>
      <c r="D10" s="1786"/>
    </row>
    <row r="11" spans="1:4" s="586" customFormat="1" ht="21" customHeight="1">
      <c r="A11" s="1669"/>
      <c r="B11" s="1670"/>
      <c r="C11" s="1787"/>
      <c r="D11" s="1788"/>
    </row>
    <row r="12" spans="1:4" s="586" customFormat="1" ht="21" customHeight="1">
      <c r="A12" s="1669"/>
      <c r="B12" s="1670"/>
      <c r="C12" s="1787"/>
      <c r="D12" s="1788"/>
    </row>
    <row r="13" spans="1:4" s="586" customFormat="1" ht="21" customHeight="1" thickBot="1">
      <c r="A13" s="1671"/>
      <c r="B13" s="1672"/>
      <c r="C13" s="1789"/>
      <c r="D13" s="1790"/>
    </row>
    <row r="14" spans="1:7" s="586" customFormat="1" ht="21" customHeight="1" thickBot="1">
      <c r="A14" s="2349" t="s">
        <v>58</v>
      </c>
      <c r="B14" s="2350"/>
      <c r="C14" s="1696">
        <f>SUM(C10:C13)</f>
        <v>0</v>
      </c>
      <c r="D14" s="1697">
        <f>SUM(D10:D13)</f>
        <v>0</v>
      </c>
      <c r="F14" s="1978" t="str">
        <f>IF(C14=Mérleg"A"!C77,"OK",Mérleg"A"!C77-'III.B.II'!C14)</f>
        <v>OK</v>
      </c>
      <c r="G14" s="1978" t="str">
        <f>IF(D14=Mérleg"A"!E77,"OK",Mérleg"A"!E77-'III.B.II'!D14)</f>
        <v>OK</v>
      </c>
    </row>
    <row r="15" spans="1:4" s="586" customFormat="1" ht="21" customHeight="1" hidden="1">
      <c r="A15" s="1667"/>
      <c r="B15" s="1781"/>
      <c r="C15" s="1785"/>
      <c r="D15" s="1786"/>
    </row>
    <row r="16" spans="1:4" s="586" customFormat="1" ht="21" customHeight="1">
      <c r="A16" s="1669"/>
      <c r="B16" s="1782"/>
      <c r="C16" s="1787"/>
      <c r="D16" s="1788"/>
    </row>
    <row r="17" spans="1:4" s="586" customFormat="1" ht="21" customHeight="1">
      <c r="A17" s="1669"/>
      <c r="B17" s="1782"/>
      <c r="C17" s="1787"/>
      <c r="D17" s="1788"/>
    </row>
    <row r="18" spans="1:4" s="586" customFormat="1" ht="21" customHeight="1" thickBot="1">
      <c r="A18" s="1671"/>
      <c r="B18" s="1783"/>
      <c r="C18" s="1789"/>
      <c r="D18" s="1790"/>
    </row>
    <row r="19" spans="1:7" s="586" customFormat="1" ht="21" customHeight="1" thickBot="1">
      <c r="A19" s="2349" t="s">
        <v>1002</v>
      </c>
      <c r="B19" s="2350"/>
      <c r="C19" s="1696">
        <f>SUM(C15:C18)</f>
        <v>0</v>
      </c>
      <c r="D19" s="1697">
        <f>SUM(D15:D18)</f>
        <v>0</v>
      </c>
      <c r="F19" s="1978" t="str">
        <f>IF(C19=Mérleg"A"!C78,"OK",Mérleg"A"!C78-'III.B.II'!C19)</f>
        <v>OK</v>
      </c>
      <c r="G19" s="1978" t="str">
        <f>IF(D19=Mérleg"A"!E78,"OK",Mérleg"A"!E78-'III.B.II'!D19)</f>
        <v>OK</v>
      </c>
    </row>
    <row r="20" spans="1:4" s="586" customFormat="1" ht="21" customHeight="1" hidden="1">
      <c r="A20" s="1667"/>
      <c r="B20" s="1668"/>
      <c r="C20" s="1785"/>
      <c r="D20" s="1786"/>
    </row>
    <row r="21" spans="1:4" s="586" customFormat="1" ht="21" customHeight="1">
      <c r="A21" s="1669"/>
      <c r="B21" s="1670"/>
      <c r="C21" s="1787"/>
      <c r="D21" s="1788"/>
    </row>
    <row r="22" spans="1:4" s="586" customFormat="1" ht="21" customHeight="1">
      <c r="A22" s="1669"/>
      <c r="B22" s="1670"/>
      <c r="C22" s="1787"/>
      <c r="D22" s="1788"/>
    </row>
    <row r="23" spans="1:4" s="586" customFormat="1" ht="21" customHeight="1" thickBot="1">
      <c r="A23" s="1671"/>
      <c r="B23" s="1672"/>
      <c r="C23" s="1789"/>
      <c r="D23" s="1790"/>
    </row>
    <row r="24" spans="1:7" s="586" customFormat="1" ht="21" customHeight="1" thickBot="1">
      <c r="A24" s="2349" t="s">
        <v>1003</v>
      </c>
      <c r="B24" s="2350"/>
      <c r="C24" s="1696">
        <f>SUM(C20:C23)</f>
        <v>0</v>
      </c>
      <c r="D24" s="1697">
        <f>SUM(D20:D23)</f>
        <v>0</v>
      </c>
      <c r="F24" s="1978" t="str">
        <f>IF(C24=Mérleg"A"!C79,"OK",Mérleg"A"!C79-'III.B.II'!C24)</f>
        <v>OK</v>
      </c>
      <c r="G24" s="1978" t="str">
        <f>IF(D24=Mérleg"A"!E79,"OK",Mérleg"A"!E79-'III.B.II'!D24)</f>
        <v>OK</v>
      </c>
    </row>
    <row r="25" spans="1:4" s="586" customFormat="1" ht="21" customHeight="1" thickBot="1">
      <c r="A25" s="1656"/>
      <c r="B25" s="1656"/>
      <c r="C25" s="1774"/>
      <c r="D25" s="1774"/>
    </row>
    <row r="26" spans="1:7" s="586" customFormat="1" ht="21" customHeight="1" thickBot="1">
      <c r="A26" s="2349" t="s">
        <v>1004</v>
      </c>
      <c r="B26" s="2350"/>
      <c r="C26" s="1696">
        <f>SUM(C14,C19,C24)</f>
        <v>0</v>
      </c>
      <c r="D26" s="1666">
        <f>SUM(D14,D19,D24)</f>
        <v>0</v>
      </c>
      <c r="F26" s="1978" t="str">
        <f>IF(C26=Mérleg"A"!C76,"OK",Mérleg"A"!C76-'III.B.II'!C26)</f>
        <v>OK</v>
      </c>
      <c r="G26" s="1978" t="str">
        <f>IF(D26=Mérleg"A"!E76,"OK",Mérleg"A"!E76-'III.B.II'!D26)</f>
        <v>OK</v>
      </c>
    </row>
    <row r="28" ht="12.75"/>
    <row r="29" ht="12.75"/>
  </sheetData>
  <mergeCells count="6">
    <mergeCell ref="A8:B9"/>
    <mergeCell ref="C8:D8"/>
    <mergeCell ref="A26:B26"/>
    <mergeCell ref="A14:B14"/>
    <mergeCell ref="A19:B19"/>
    <mergeCell ref="A24:B24"/>
  </mergeCells>
  <printOptions horizontalCentered="1"/>
  <pageMargins left="0.7874015748031497" right="0.61" top="0.58" bottom="0.984251968503937" header="0.41" footer="0.5118110236220472"/>
  <pageSetup horizontalDpi="1200" verticalDpi="1200" orientation="portrait" paperSize="9" r:id="rId4"/>
  <headerFooter alignWithMargins="0">
    <oddFooter>&amp;C&amp;P/&amp;N&amp;R&amp;A</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Munka63"/>
  <dimension ref="A1:I34"/>
  <sheetViews>
    <sheetView workbookViewId="0" topLeftCell="A1">
      <selection activeCell="D34" sqref="D34"/>
    </sheetView>
  </sheetViews>
  <sheetFormatPr defaultColWidth="9.00390625" defaultRowHeight="12.75"/>
  <cols>
    <col min="1" max="1" width="34.125" style="521" customWidth="1"/>
    <col min="2" max="4" width="13.75390625" style="521" customWidth="1"/>
    <col min="5" max="5" width="15.00390625" style="521" customWidth="1"/>
    <col min="6" max="16384" width="9.125" style="521" customWidth="1"/>
  </cols>
  <sheetData>
    <row r="1" spans="1:5" s="372" customFormat="1" ht="15">
      <c r="A1" s="387" t="str">
        <f>'III.B.III.2'!A1</f>
        <v>Komáromi Távhő Kft</v>
      </c>
      <c r="B1" s="470"/>
      <c r="C1" s="470"/>
      <c r="E1" s="389" t="str">
        <f>'III.B.III.2'!G1</f>
        <v>Kiegészítő melléklet 2016. december 31.Hőszolgáltatás </v>
      </c>
    </row>
    <row r="2" spans="1:5" s="372" customFormat="1" ht="15">
      <c r="A2" s="387"/>
      <c r="B2" s="470"/>
      <c r="C2" s="470"/>
      <c r="E2" s="389" t="str">
        <f>'III.B.III.2'!G2</f>
        <v>III. Mérleghez és eredménykimutatáshoz kapcsolódó kiegészítések</v>
      </c>
    </row>
    <row r="3" spans="1:3" s="372" customFormat="1" ht="15">
      <c r="A3" s="387"/>
      <c r="B3" s="470"/>
      <c r="C3" s="470"/>
    </row>
    <row r="4" spans="1:9" s="518" customFormat="1" ht="14.25" customHeight="1">
      <c r="A4" s="411" t="str">
        <f>'III.C'!A4</f>
        <v>A közzétett adatokat könyvvizsgáló ellenőrizte</v>
      </c>
      <c r="B4" s="411"/>
      <c r="C4" s="411"/>
      <c r="D4" s="411"/>
      <c r="E4" s="411"/>
      <c r="F4" s="411"/>
      <c r="G4" s="1600"/>
      <c r="H4" s="1600"/>
      <c r="I4" s="1600"/>
    </row>
    <row r="5" spans="1:6" s="690" customFormat="1" ht="12.75">
      <c r="A5" s="393"/>
      <c r="B5" s="584"/>
      <c r="C5" s="584"/>
      <c r="D5" s="584"/>
      <c r="E5" s="584"/>
      <c r="F5" s="584"/>
    </row>
    <row r="6" spans="1:6" s="690" customFormat="1" ht="18">
      <c r="A6" s="532" t="s">
        <v>315</v>
      </c>
      <c r="B6" s="584"/>
      <c r="C6" s="584"/>
      <c r="D6" s="584"/>
      <c r="E6" s="584"/>
      <c r="F6" s="584"/>
    </row>
    <row r="7" s="690" customFormat="1" ht="12.75">
      <c r="A7" s="689"/>
    </row>
    <row r="8" spans="1:6" s="690" customFormat="1" ht="16.5">
      <c r="A8" s="1601" t="s">
        <v>316</v>
      </c>
      <c r="B8" s="584"/>
      <c r="C8" s="584"/>
      <c r="D8" s="584"/>
      <c r="E8" s="584"/>
      <c r="F8" s="584"/>
    </row>
    <row r="9" spans="1:5" s="690" customFormat="1" ht="17.25" thickBot="1">
      <c r="A9" s="1599"/>
      <c r="E9" s="1569" t="str">
        <f>'III.C'!D7</f>
        <v>Adatok E Ft-ban</v>
      </c>
    </row>
    <row r="10" spans="1:5" s="1602" customFormat="1" ht="16.5">
      <c r="A10" s="2046" t="s">
        <v>494</v>
      </c>
      <c r="B10" s="2047" t="s">
        <v>1205</v>
      </c>
      <c r="C10" s="2047" t="s">
        <v>112</v>
      </c>
      <c r="D10" s="2047" t="s">
        <v>438</v>
      </c>
      <c r="E10" s="2048" t="s">
        <v>1805</v>
      </c>
    </row>
    <row r="11" spans="1:5" s="1602" customFormat="1" ht="18" customHeight="1">
      <c r="A11" s="2049" t="s">
        <v>1806</v>
      </c>
      <c r="B11" s="2050">
        <f>'L.D'!H92</f>
        <v>0</v>
      </c>
      <c r="C11" s="2050">
        <f>'L.D'!I92</f>
        <v>0</v>
      </c>
      <c r="D11" s="2050">
        <f>C11-B11</f>
        <v>0</v>
      </c>
      <c r="E11" s="2051"/>
    </row>
    <row r="12" spans="1:8" s="1602" customFormat="1" ht="18" customHeight="1">
      <c r="A12" s="2052" t="s">
        <v>1233</v>
      </c>
      <c r="B12" s="2053"/>
      <c r="C12" s="2050"/>
      <c r="D12" s="2050"/>
      <c r="E12" s="2051"/>
      <c r="G12" s="2066" t="str">
        <f>IF(B11=SUM(B12:B16),"OK",B11-SUM(B12:B16))</f>
        <v>OK</v>
      </c>
      <c r="H12" s="2066" t="str">
        <f>IF(C11=SUM(C12:C16),"OK",C11-SUM(C12:C16))</f>
        <v>OK</v>
      </c>
    </row>
    <row r="13" spans="1:5" s="1602" customFormat="1" ht="18" customHeight="1">
      <c r="A13" s="2052" t="s">
        <v>1234</v>
      </c>
      <c r="B13" s="2053"/>
      <c r="C13" s="2050"/>
      <c r="D13" s="2050"/>
      <c r="E13" s="2051"/>
    </row>
    <row r="14" spans="1:5" s="1602" customFormat="1" ht="18" customHeight="1">
      <c r="A14" s="2052" t="s">
        <v>1235</v>
      </c>
      <c r="B14" s="2053"/>
      <c r="C14" s="2050"/>
      <c r="D14" s="2050"/>
      <c r="E14" s="2051"/>
    </row>
    <row r="15" spans="1:5" s="1602" customFormat="1" ht="18" customHeight="1">
      <c r="A15" s="2052" t="s">
        <v>1236</v>
      </c>
      <c r="B15" s="2053"/>
      <c r="C15" s="2050"/>
      <c r="D15" s="2050"/>
      <c r="E15" s="2051"/>
    </row>
    <row r="16" spans="1:5" s="1602" customFormat="1" ht="18" customHeight="1">
      <c r="A16" s="2052" t="s">
        <v>1845</v>
      </c>
      <c r="B16" s="2050"/>
      <c r="C16" s="2076"/>
      <c r="D16" s="2050"/>
      <c r="E16" s="2051"/>
    </row>
    <row r="17" spans="1:5" s="1602" customFormat="1" ht="18" customHeight="1">
      <c r="A17" s="2049" t="s">
        <v>1807</v>
      </c>
      <c r="B17" s="2050">
        <f>'L.D'!H93</f>
        <v>0</v>
      </c>
      <c r="C17" s="2053">
        <f>'L.D'!I93</f>
        <v>0</v>
      </c>
      <c r="D17" s="2050">
        <f>C17-B17</f>
        <v>0</v>
      </c>
      <c r="E17" s="2051"/>
    </row>
    <row r="18" spans="1:5" s="1602" customFormat="1" ht="18" customHeight="1">
      <c r="A18" s="2049" t="s">
        <v>1808</v>
      </c>
      <c r="B18" s="2050">
        <f>'L.D'!H94</f>
        <v>0</v>
      </c>
      <c r="C18" s="2053">
        <f>'L.D'!I94</f>
        <v>0</v>
      </c>
      <c r="D18" s="2050">
        <f>C18-B18</f>
        <v>0</v>
      </c>
      <c r="E18" s="2051"/>
    </row>
    <row r="19" spans="1:5" s="1602" customFormat="1" ht="18" customHeight="1">
      <c r="A19" s="2049" t="s">
        <v>1809</v>
      </c>
      <c r="B19" s="2050">
        <f>'L.D'!H95</f>
        <v>0</v>
      </c>
      <c r="C19" s="2053">
        <f>'L.D'!I95</f>
        <v>0</v>
      </c>
      <c r="D19" s="2050">
        <f>C19-B19</f>
        <v>0</v>
      </c>
      <c r="E19" s="2051"/>
    </row>
    <row r="20" spans="1:5" s="1602" customFormat="1" ht="18" customHeight="1">
      <c r="A20" s="2049" t="s">
        <v>1810</v>
      </c>
      <c r="B20" s="2050">
        <f>'L.D'!H96</f>
        <v>0</v>
      </c>
      <c r="C20" s="2053">
        <f>'L.D'!I96</f>
        <v>0</v>
      </c>
      <c r="D20" s="2050">
        <f>SUM(D25,D30,D31)</f>
        <v>0</v>
      </c>
      <c r="E20" s="2051"/>
    </row>
    <row r="21" spans="1:5" ht="18" customHeight="1">
      <c r="A21" s="2054" t="s">
        <v>1005</v>
      </c>
      <c r="B21" s="2055"/>
      <c r="C21" s="2055"/>
      <c r="D21" s="2055"/>
      <c r="E21" s="2056"/>
    </row>
    <row r="22" spans="1:5" ht="18" customHeight="1">
      <c r="A22" s="2057"/>
      <c r="B22" s="2058"/>
      <c r="C22" s="2058"/>
      <c r="D22" s="2058">
        <f>C22-B22</f>
        <v>0</v>
      </c>
      <c r="E22" s="2059"/>
    </row>
    <row r="23" spans="1:5" ht="18" customHeight="1">
      <c r="A23" s="2057"/>
      <c r="B23" s="2058"/>
      <c r="C23" s="2058"/>
      <c r="D23" s="2058">
        <f>C23-B23</f>
        <v>0</v>
      </c>
      <c r="E23" s="2059"/>
    </row>
    <row r="24" spans="1:5" ht="18" customHeight="1">
      <c r="A24" s="2057"/>
      <c r="B24" s="2058"/>
      <c r="C24" s="2058"/>
      <c r="D24" s="2058">
        <f>C24-B24</f>
        <v>0</v>
      </c>
      <c r="E24" s="2059"/>
    </row>
    <row r="25" spans="1:5" ht="18" customHeight="1">
      <c r="A25" s="2060" t="s">
        <v>1006</v>
      </c>
      <c r="B25" s="2055">
        <f>SUM(B22:B24)</f>
        <v>0</v>
      </c>
      <c r="C25" s="2055">
        <f>SUM(C22:C24)</f>
        <v>0</v>
      </c>
      <c r="D25" s="2055">
        <f>SUM(D22:D24)</f>
        <v>0</v>
      </c>
      <c r="E25" s="2059"/>
    </row>
    <row r="26" spans="1:5" ht="18" customHeight="1">
      <c r="A26" s="2061" t="s">
        <v>1803</v>
      </c>
      <c r="B26" s="2055"/>
      <c r="C26" s="2055"/>
      <c r="D26" s="2055"/>
      <c r="E26" s="2056"/>
    </row>
    <row r="27" spans="1:5" ht="18" customHeight="1">
      <c r="A27" s="2057"/>
      <c r="B27" s="2058"/>
      <c r="C27" s="2058"/>
      <c r="D27" s="2058">
        <f>C27-B27</f>
        <v>0</v>
      </c>
      <c r="E27" s="2059"/>
    </row>
    <row r="28" spans="1:5" ht="18" customHeight="1">
      <c r="A28" s="2057"/>
      <c r="B28" s="2058"/>
      <c r="C28" s="2058"/>
      <c r="D28" s="2058">
        <f>C28-B28</f>
        <v>0</v>
      </c>
      <c r="E28" s="2059"/>
    </row>
    <row r="29" spans="1:5" ht="18" customHeight="1">
      <c r="A29" s="2057"/>
      <c r="B29" s="2058"/>
      <c r="C29" s="2058"/>
      <c r="D29" s="2058">
        <f>C29-B29</f>
        <v>0</v>
      </c>
      <c r="E29" s="2059"/>
    </row>
    <row r="30" spans="1:5" ht="18" customHeight="1">
      <c r="A30" s="2060" t="s">
        <v>1006</v>
      </c>
      <c r="B30" s="2055">
        <f>SUM(B27:B29)</f>
        <v>0</v>
      </c>
      <c r="C30" s="2055">
        <f>SUM(C27:C29)</f>
        <v>0</v>
      </c>
      <c r="D30" s="2055">
        <f>SUM(D27:D29)</f>
        <v>0</v>
      </c>
      <c r="E30" s="2059"/>
    </row>
    <row r="31" spans="1:5" ht="18" customHeight="1">
      <c r="A31" s="2062" t="s">
        <v>1804</v>
      </c>
      <c r="B31" s="2058"/>
      <c r="C31" s="2058"/>
      <c r="D31" s="2058">
        <f>C31-B31</f>
        <v>0</v>
      </c>
      <c r="E31" s="2059"/>
    </row>
    <row r="32" spans="1:5" s="1602" customFormat="1" ht="18" customHeight="1">
      <c r="A32" s="2049" t="s">
        <v>1811</v>
      </c>
      <c r="B32" s="2050">
        <f>'L.D'!H97</f>
        <v>0</v>
      </c>
      <c r="C32" s="2050">
        <f>'L.D'!I97</f>
        <v>0</v>
      </c>
      <c r="D32" s="2050">
        <f>C32-B32</f>
        <v>0</v>
      </c>
      <c r="E32" s="2051"/>
    </row>
    <row r="33" spans="1:5" s="1602" customFormat="1" ht="18" customHeight="1" thickBot="1">
      <c r="A33" s="2063" t="s">
        <v>1812</v>
      </c>
      <c r="B33" s="2064">
        <f>'L.D'!H98</f>
        <v>0</v>
      </c>
      <c r="C33" s="2064">
        <f>'L.D'!I98</f>
        <v>0</v>
      </c>
      <c r="D33" s="2064">
        <f>C33-B33</f>
        <v>0</v>
      </c>
      <c r="E33" s="2065"/>
    </row>
    <row r="34" spans="2:5" ht="18" customHeight="1">
      <c r="B34" s="1880"/>
      <c r="C34" s="1880"/>
      <c r="D34" s="1880"/>
      <c r="E34" s="1880"/>
    </row>
  </sheetData>
  <printOptions/>
  <pageMargins left="0.64" right="0.59" top="0.6" bottom="0.61" header="0.39" footer="0.44"/>
  <pageSetup horizontalDpi="1200" verticalDpi="1200" orientation="portrait" paperSize="9" r:id="rId1"/>
  <headerFooter alignWithMargins="0">
    <oddFooter>&amp;C&amp;P/&amp;N&amp;R&amp;A</oddFooter>
  </headerFooter>
</worksheet>
</file>

<file path=xl/worksheets/sheet34.xml><?xml version="1.0" encoding="utf-8"?>
<worksheet xmlns="http://schemas.openxmlformats.org/spreadsheetml/2006/main" xmlns:r="http://schemas.openxmlformats.org/officeDocument/2006/relationships">
  <sheetPr codeName="Munka48"/>
  <dimension ref="A1:E24"/>
  <sheetViews>
    <sheetView workbookViewId="0" topLeftCell="A1">
      <selection activeCell="M42" sqref="M42"/>
    </sheetView>
  </sheetViews>
  <sheetFormatPr defaultColWidth="9.00390625" defaultRowHeight="12.75"/>
  <cols>
    <col min="1" max="1" width="29.75390625" style="521" customWidth="1"/>
    <col min="2" max="2" width="13.375" style="521" bestFit="1" customWidth="1"/>
    <col min="3" max="4" width="12.75390625" style="521" customWidth="1"/>
    <col min="5" max="5" width="13.375" style="521" customWidth="1"/>
    <col min="6" max="16384" width="9.125" style="521" customWidth="1"/>
  </cols>
  <sheetData>
    <row r="1" spans="1:5" s="372" customFormat="1" ht="15">
      <c r="A1" s="387" t="str">
        <f>'III.B.III.2'!A1</f>
        <v>Komáromi Távhő Kft</v>
      </c>
      <c r="B1" s="470"/>
      <c r="C1" s="470"/>
      <c r="D1" s="470"/>
      <c r="E1" s="389" t="str">
        <f>'III.B.III.2'!G1</f>
        <v>Kiegészítő melléklet 2016. december 31.Hőszolgáltatás </v>
      </c>
    </row>
    <row r="2" spans="1:5" s="372" customFormat="1" ht="15">
      <c r="A2" s="387"/>
      <c r="B2" s="470"/>
      <c r="C2" s="470"/>
      <c r="D2" s="470"/>
      <c r="E2" s="389" t="str">
        <f>'III.B.III.2'!G2</f>
        <v>III. Mérleghez és eredménykimutatáshoz kapcsolódó kiegészítések</v>
      </c>
    </row>
    <row r="3" spans="1:5" s="372" customFormat="1" ht="15">
      <c r="A3" s="387"/>
      <c r="B3" s="470"/>
      <c r="C3" s="470"/>
      <c r="D3" s="470"/>
      <c r="E3" s="389"/>
    </row>
    <row r="4" spans="1:5" s="518" customFormat="1" ht="14.25" customHeight="1">
      <c r="A4" s="411" t="str">
        <f>'III.C'!A4</f>
        <v>A közzétett adatokat könyvvizsgáló ellenőrizte</v>
      </c>
      <c r="B4" s="411"/>
      <c r="C4" s="411"/>
      <c r="D4" s="411"/>
      <c r="E4" s="411"/>
    </row>
    <row r="5" s="690" customFormat="1" ht="12.75">
      <c r="A5" s="404"/>
    </row>
    <row r="6" spans="1:5" s="690" customFormat="1" ht="18">
      <c r="A6" s="532" t="str">
        <f>'III.D.1'!A6</f>
        <v>III. D SAJÁT TŐKE</v>
      </c>
      <c r="B6" s="584"/>
      <c r="C6" s="584"/>
      <c r="D6" s="584"/>
      <c r="E6" s="584"/>
    </row>
    <row r="7" s="690" customFormat="1" ht="12.75"/>
    <row r="8" spans="1:5" s="690" customFormat="1" ht="16.5">
      <c r="A8" s="1601" t="s">
        <v>317</v>
      </c>
      <c r="B8" s="584"/>
      <c r="C8" s="584"/>
      <c r="D8" s="584"/>
      <c r="E8" s="584"/>
    </row>
    <row r="10" ht="13.5" thickBot="1">
      <c r="A10" s="581" t="s">
        <v>318</v>
      </c>
    </row>
    <row r="11" spans="1:5" ht="45" customHeight="1" thickBot="1">
      <c r="A11" s="1627" t="s">
        <v>1813</v>
      </c>
      <c r="B11" s="1645" t="s">
        <v>1814</v>
      </c>
      <c r="C11" s="1646" t="s">
        <v>1815</v>
      </c>
      <c r="D11" s="1645" t="s">
        <v>322</v>
      </c>
      <c r="E11" s="1629" t="s">
        <v>321</v>
      </c>
    </row>
    <row r="12" spans="1:5" ht="13.5" thickTop="1">
      <c r="A12" s="1647"/>
      <c r="B12" s="582"/>
      <c r="C12" s="582"/>
      <c r="D12" s="582">
        <f>B12*C12</f>
        <v>0</v>
      </c>
      <c r="E12" s="1648"/>
    </row>
    <row r="13" spans="1:5" ht="12.75">
      <c r="A13" s="967"/>
      <c r="B13" s="523"/>
      <c r="C13" s="523"/>
      <c r="D13" s="523">
        <f>B13*C13</f>
        <v>0</v>
      </c>
      <c r="E13" s="1649"/>
    </row>
    <row r="14" spans="1:5" ht="12.75">
      <c r="A14" s="967"/>
      <c r="B14" s="523"/>
      <c r="C14" s="523"/>
      <c r="D14" s="523">
        <f>B14*C14</f>
        <v>0</v>
      </c>
      <c r="E14" s="1649"/>
    </row>
    <row r="15" spans="1:5" ht="12.75">
      <c r="A15" s="967"/>
      <c r="B15" s="523"/>
      <c r="C15" s="523"/>
      <c r="D15" s="523">
        <f>B15*C15</f>
        <v>0</v>
      </c>
      <c r="E15" s="1649"/>
    </row>
    <row r="16" spans="1:5" ht="13.5" thickBot="1">
      <c r="A16" s="1650"/>
      <c r="B16" s="1651"/>
      <c r="C16" s="1651"/>
      <c r="D16" s="1651">
        <f>B16*C16</f>
        <v>0</v>
      </c>
      <c r="E16" s="1652"/>
    </row>
    <row r="18" ht="13.5" thickBot="1">
      <c r="A18" s="581" t="s">
        <v>319</v>
      </c>
    </row>
    <row r="19" spans="1:2" ht="13.5" thickBot="1">
      <c r="A19" s="1653" t="s">
        <v>1816</v>
      </c>
      <c r="B19" s="1654" t="s">
        <v>53</v>
      </c>
    </row>
    <row r="20" spans="1:2" ht="13.5" thickTop="1">
      <c r="A20" s="1647"/>
      <c r="B20" s="1655"/>
    </row>
    <row r="21" spans="1:2" ht="12.75">
      <c r="A21" s="967"/>
      <c r="B21" s="1649"/>
    </row>
    <row r="22" spans="1:2" ht="12.75">
      <c r="A22" s="967"/>
      <c r="B22" s="1649"/>
    </row>
    <row r="23" spans="1:2" ht="12.75">
      <c r="A23" s="967"/>
      <c r="B23" s="1649"/>
    </row>
    <row r="24" spans="1:2" ht="13.5" thickBot="1">
      <c r="A24" s="1650"/>
      <c r="B24" s="1652"/>
    </row>
  </sheetData>
  <printOptions/>
  <pageMargins left="0.7874015748031497" right="0.7874015748031497" top="0.58" bottom="0.984251968503937" header="0.41" footer="0.5118110236220472"/>
  <pageSetup horizontalDpi="1200" verticalDpi="1200" orientation="portrait" paperSize="9" r:id="rId1"/>
  <headerFooter alignWithMargins="0">
    <oddFooter>&amp;C&amp;P/&amp;N&amp;R&amp;A</oddFooter>
  </headerFooter>
</worksheet>
</file>

<file path=xl/worksheets/sheet35.xml><?xml version="1.0" encoding="utf-8"?>
<worksheet xmlns="http://schemas.openxmlformats.org/spreadsheetml/2006/main" xmlns:r="http://schemas.openxmlformats.org/officeDocument/2006/relationships">
  <sheetPr codeName="Munka61"/>
  <dimension ref="A1:L18"/>
  <sheetViews>
    <sheetView workbookViewId="0" topLeftCell="A1">
      <selection activeCell="M36" sqref="M36"/>
    </sheetView>
  </sheetViews>
  <sheetFormatPr defaultColWidth="9.00390625" defaultRowHeight="12.75"/>
  <cols>
    <col min="1" max="1" width="30.875" style="521" customWidth="1"/>
    <col min="2" max="2" width="13.375" style="521" bestFit="1" customWidth="1"/>
    <col min="3" max="7" width="15.75390625" style="521" customWidth="1"/>
    <col min="8" max="16384" width="9.125" style="521" customWidth="1"/>
  </cols>
  <sheetData>
    <row r="1" spans="1:7" s="372" customFormat="1" ht="15">
      <c r="A1" s="387" t="str">
        <f>'III.B.III.2'!A1</f>
        <v>Komáromi Távhő Kft</v>
      </c>
      <c r="B1" s="470"/>
      <c r="C1" s="470"/>
      <c r="D1" s="470"/>
      <c r="G1" s="389" t="str">
        <f>'III.B.III.2'!G1</f>
        <v>Kiegészítő melléklet 2016. december 31.Hőszolgáltatás </v>
      </c>
    </row>
    <row r="2" spans="1:7" s="372" customFormat="1" ht="15">
      <c r="A2" s="387"/>
      <c r="B2" s="470"/>
      <c r="C2" s="470"/>
      <c r="D2" s="470"/>
      <c r="G2" s="389" t="str">
        <f>'III.B.III.2'!G2</f>
        <v>III. Mérleghez és eredménykimutatáshoz kapcsolódó kiegészítések</v>
      </c>
    </row>
    <row r="3" spans="1:5" s="372" customFormat="1" ht="15">
      <c r="A3" s="387"/>
      <c r="B3" s="470"/>
      <c r="C3" s="470"/>
      <c r="D3" s="470"/>
      <c r="E3" s="389"/>
    </row>
    <row r="4" spans="1:12" s="518" customFormat="1" ht="14.25" customHeight="1">
      <c r="A4" s="411" t="str">
        <f>'III.C'!A4</f>
        <v>A közzétett adatokat könyvvizsgáló ellenőrizte</v>
      </c>
      <c r="B4" s="411"/>
      <c r="C4" s="411"/>
      <c r="D4" s="411"/>
      <c r="E4" s="411"/>
      <c r="F4" s="411"/>
      <c r="G4" s="411"/>
      <c r="H4" s="1600"/>
      <c r="I4" s="1600"/>
      <c r="J4" s="1600"/>
      <c r="K4" s="1600"/>
      <c r="L4" s="1600"/>
    </row>
    <row r="5" spans="1:7" s="690" customFormat="1" ht="12.75">
      <c r="A5" s="393"/>
      <c r="B5" s="584"/>
      <c r="C5" s="584"/>
      <c r="D5" s="584"/>
      <c r="E5" s="584"/>
      <c r="F5" s="584"/>
      <c r="G5" s="584"/>
    </row>
    <row r="6" spans="1:7" s="690" customFormat="1" ht="18">
      <c r="A6" s="532" t="str">
        <f>'III.D.1'!A6</f>
        <v>III. D SAJÁT TŐKE</v>
      </c>
      <c r="B6" s="584"/>
      <c r="C6" s="584"/>
      <c r="D6" s="584"/>
      <c r="E6" s="584"/>
      <c r="F6" s="584"/>
      <c r="G6" s="584"/>
    </row>
    <row r="7" spans="1:7" s="690" customFormat="1" ht="12.75">
      <c r="A7" s="584"/>
      <c r="B7" s="584"/>
      <c r="C7" s="584"/>
      <c r="D7" s="584"/>
      <c r="E7" s="584"/>
      <c r="F7" s="584"/>
      <c r="G7" s="584"/>
    </row>
    <row r="8" spans="1:7" s="690" customFormat="1" ht="16.5">
      <c r="A8" s="1601" t="s">
        <v>320</v>
      </c>
      <c r="B8" s="584"/>
      <c r="C8" s="584"/>
      <c r="D8" s="584"/>
      <c r="E8" s="584"/>
      <c r="F8" s="584"/>
      <c r="G8" s="584"/>
    </row>
    <row r="9" ht="13.5" thickBot="1">
      <c r="G9" s="1569" t="str">
        <f>'III.C'!D7</f>
        <v>Adatok E Ft-ban</v>
      </c>
    </row>
    <row r="10" spans="1:7" ht="26.25" thickBot="1">
      <c r="A10" s="2353" t="s">
        <v>494</v>
      </c>
      <c r="B10" s="2354"/>
      <c r="C10" s="1628" t="s">
        <v>167</v>
      </c>
      <c r="D10" s="1628" t="s">
        <v>604</v>
      </c>
      <c r="E10" s="1628" t="s">
        <v>605</v>
      </c>
      <c r="F10" s="1628" t="s">
        <v>1817</v>
      </c>
      <c r="G10" s="1629" t="s">
        <v>1818</v>
      </c>
    </row>
    <row r="11" spans="1:7" ht="24.75" customHeight="1" thickTop="1">
      <c r="A11" s="2355" t="s">
        <v>1819</v>
      </c>
      <c r="B11" s="2356"/>
      <c r="C11" s="1605"/>
      <c r="D11" s="1605"/>
      <c r="E11" s="1605"/>
      <c r="F11" s="1605"/>
      <c r="G11" s="1630"/>
    </row>
    <row r="12" spans="1:7" ht="24.75" customHeight="1">
      <c r="A12" s="2279" t="s">
        <v>1409</v>
      </c>
      <c r="B12" s="2280"/>
      <c r="C12" s="968"/>
      <c r="D12" s="968"/>
      <c r="E12" s="968"/>
      <c r="F12" s="968"/>
      <c r="G12" s="1631"/>
    </row>
    <row r="13" spans="1:7" ht="24.75" customHeight="1">
      <c r="A13" s="2279" t="s">
        <v>1820</v>
      </c>
      <c r="B13" s="2280"/>
      <c r="C13" s="968"/>
      <c r="D13" s="968"/>
      <c r="E13" s="968"/>
      <c r="F13" s="968"/>
      <c r="G13" s="1631"/>
    </row>
    <row r="14" spans="1:7" ht="24.75" customHeight="1">
      <c r="A14" s="2279" t="s">
        <v>1821</v>
      </c>
      <c r="B14" s="2280"/>
      <c r="C14" s="968"/>
      <c r="D14" s="968"/>
      <c r="E14" s="968"/>
      <c r="F14" s="968"/>
      <c r="G14" s="1631"/>
    </row>
    <row r="15" spans="1:7" ht="24.75" customHeight="1">
      <c r="A15" s="2279" t="s">
        <v>1822</v>
      </c>
      <c r="B15" s="2280"/>
      <c r="C15" s="968"/>
      <c r="D15" s="968"/>
      <c r="E15" s="968"/>
      <c r="F15" s="968"/>
      <c r="G15" s="1631"/>
    </row>
    <row r="16" spans="1:7" ht="24.75" customHeight="1">
      <c r="A16" s="2279" t="s">
        <v>203</v>
      </c>
      <c r="B16" s="2280"/>
      <c r="C16" s="968"/>
      <c r="D16" s="968"/>
      <c r="E16" s="968"/>
      <c r="F16" s="968"/>
      <c r="G16" s="1631"/>
    </row>
    <row r="17" spans="1:7" ht="24.75" customHeight="1">
      <c r="A17" s="2357" t="s">
        <v>1823</v>
      </c>
      <c r="B17" s="2358"/>
      <c r="C17" s="968"/>
      <c r="D17" s="968"/>
      <c r="E17" s="968"/>
      <c r="F17" s="968"/>
      <c r="G17" s="1631"/>
    </row>
    <row r="18" spans="1:7" ht="31.5" customHeight="1" thickBot="1">
      <c r="A18" s="2351" t="s">
        <v>832</v>
      </c>
      <c r="B18" s="2352"/>
      <c r="C18" s="1632">
        <f>SUM(C11:C17)</f>
        <v>0</v>
      </c>
      <c r="D18" s="1632">
        <f>SUM(D11:D17)</f>
        <v>0</v>
      </c>
      <c r="E18" s="1632">
        <f>SUM(E11:E17)</f>
        <v>0</v>
      </c>
      <c r="F18" s="1632">
        <f>SUM(F11:F17)</f>
        <v>0</v>
      </c>
      <c r="G18" s="1633"/>
    </row>
  </sheetData>
  <mergeCells count="9">
    <mergeCell ref="A18:B18"/>
    <mergeCell ref="A10:B10"/>
    <mergeCell ref="A11:B11"/>
    <mergeCell ref="A12:B12"/>
    <mergeCell ref="A17:B17"/>
    <mergeCell ref="A13:B13"/>
    <mergeCell ref="A14:B14"/>
    <mergeCell ref="A15:B15"/>
    <mergeCell ref="A16:B16"/>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&amp;C&amp;P/&amp;N&amp;R&amp;A</oddFooter>
  </headerFooter>
</worksheet>
</file>

<file path=xl/worksheets/sheet36.xml><?xml version="1.0" encoding="utf-8"?>
<worksheet xmlns="http://schemas.openxmlformats.org/spreadsheetml/2006/main" xmlns:r="http://schemas.openxmlformats.org/officeDocument/2006/relationships">
  <sheetPr codeName="Munka65"/>
  <dimension ref="A1:G112"/>
  <sheetViews>
    <sheetView zoomScale="115" zoomScaleNormal="115" workbookViewId="0" topLeftCell="A47">
      <selection activeCell="A59" sqref="A59:D61"/>
    </sheetView>
  </sheetViews>
  <sheetFormatPr defaultColWidth="9.00390625" defaultRowHeight="12.75"/>
  <cols>
    <col min="1" max="1" width="11.125" style="1042" customWidth="1"/>
    <col min="2" max="2" width="43.00390625" style="1042" customWidth="1"/>
    <col min="3" max="4" width="15.75390625" style="1042" customWidth="1"/>
    <col min="5" max="5" width="10.00390625" style="1042" customWidth="1"/>
    <col min="6" max="6" width="16.00390625" style="1042" customWidth="1"/>
    <col min="7" max="7" width="14.00390625" style="1042" customWidth="1"/>
    <col min="8" max="16384" width="9.125" style="1042" customWidth="1"/>
  </cols>
  <sheetData>
    <row r="1" spans="1:4" s="1030" customFormat="1" ht="15">
      <c r="A1" s="1027" t="str">
        <f>'II.B.5'!A1</f>
        <v>Komáromi Távhő Kft</v>
      </c>
      <c r="B1" s="1028"/>
      <c r="C1" s="1028"/>
      <c r="D1" s="1029" t="str">
        <f>'II.B.5'!G1</f>
        <v>Kiegészítő melléklet 2016. december 31.Hőszolgáltatás </v>
      </c>
    </row>
    <row r="2" spans="1:4" s="1030" customFormat="1" ht="15">
      <c r="A2" s="1027"/>
      <c r="B2" s="1028"/>
      <c r="C2" s="1028"/>
      <c r="D2" s="1029" t="str">
        <f>'II.B.5'!G2</f>
        <v>II. Tájékoztató kiegészítések</v>
      </c>
    </row>
    <row r="3" spans="1:4" s="1030" customFormat="1" ht="15">
      <c r="A3" s="1027"/>
      <c r="B3" s="1028"/>
      <c r="C3" s="1028"/>
      <c r="D3" s="1029"/>
    </row>
    <row r="4" spans="1:4" s="1030" customFormat="1" ht="15">
      <c r="A4" s="1062" t="str">
        <f>'II.B.5'!A4</f>
        <v>A közzétett adatokat könyvvizsgáló ellenőrizte</v>
      </c>
      <c r="B4" s="1625"/>
      <c r="C4" s="1625"/>
      <c r="D4" s="1626"/>
    </row>
    <row r="5" spans="1:4" s="1030" customFormat="1" ht="15">
      <c r="A5" s="1027"/>
      <c r="B5" s="1028"/>
      <c r="C5" s="1028"/>
      <c r="D5" s="1029"/>
    </row>
    <row r="6" spans="1:4" s="1035" customFormat="1" ht="18.75">
      <c r="A6" s="1614" t="s">
        <v>325</v>
      </c>
      <c r="B6" s="1613"/>
      <c r="C6" s="1033"/>
      <c r="D6" s="1033"/>
    </row>
    <row r="7" spans="1:4" s="742" customFormat="1" ht="21" customHeight="1" thickBot="1">
      <c r="A7" s="1101"/>
      <c r="B7" s="1102"/>
      <c r="C7" s="1101"/>
      <c r="D7" s="1893" t="str">
        <f>'II.B.5'!G8</f>
        <v>Adatok E Ft-ban</v>
      </c>
    </row>
    <row r="8" spans="1:4" s="739" customFormat="1" ht="21" customHeight="1" thickBot="1">
      <c r="A8" s="2365" t="s">
        <v>494</v>
      </c>
      <c r="B8" s="2366"/>
      <c r="C8" s="2359" t="s">
        <v>324</v>
      </c>
      <c r="D8" s="2360"/>
    </row>
    <row r="9" spans="1:7" s="739" customFormat="1" ht="21" customHeight="1" thickBot="1">
      <c r="A9" s="2367"/>
      <c r="B9" s="2368"/>
      <c r="C9" s="1777" t="s">
        <v>603</v>
      </c>
      <c r="D9" s="859" t="s">
        <v>922</v>
      </c>
      <c r="E9" s="1620"/>
      <c r="F9" s="1973" t="s">
        <v>603</v>
      </c>
      <c r="G9" s="1988" t="s">
        <v>922</v>
      </c>
    </row>
    <row r="10" spans="1:7" s="744" customFormat="1" ht="15" customHeight="1" hidden="1">
      <c r="A10" s="928"/>
      <c r="B10" s="910"/>
      <c r="C10" s="1728"/>
      <c r="D10" s="1729"/>
      <c r="E10" s="1621"/>
      <c r="F10" s="1621"/>
      <c r="G10" s="1621"/>
    </row>
    <row r="11" spans="1:7" s="744" customFormat="1" ht="15" customHeight="1">
      <c r="A11" s="901"/>
      <c r="B11" s="911"/>
      <c r="C11" s="1718"/>
      <c r="D11" s="1713"/>
      <c r="E11" s="1621"/>
      <c r="F11" s="1989"/>
      <c r="G11" s="1989"/>
    </row>
    <row r="12" spans="1:7" s="744" customFormat="1" ht="15" customHeight="1">
      <c r="A12" s="901"/>
      <c r="B12" s="911"/>
      <c r="C12" s="1718"/>
      <c r="D12" s="1713"/>
      <c r="E12" s="1621"/>
      <c r="F12" s="1989"/>
      <c r="G12" s="1989"/>
    </row>
    <row r="13" spans="1:7" s="744" customFormat="1" ht="15" customHeight="1" thickBot="1">
      <c r="A13" s="936"/>
      <c r="B13" s="1776"/>
      <c r="C13" s="1723"/>
      <c r="D13" s="1722"/>
      <c r="E13" s="1621"/>
      <c r="F13" s="1989"/>
      <c r="G13" s="1989"/>
    </row>
    <row r="14" spans="1:7" s="744" customFormat="1" ht="15" customHeight="1" thickBot="1">
      <c r="A14" s="2363" t="s">
        <v>379</v>
      </c>
      <c r="B14" s="2364"/>
      <c r="C14" s="1720">
        <f>SUM(C10:C13)</f>
        <v>0</v>
      </c>
      <c r="D14" s="1716">
        <f>SUM(D10:D13)</f>
        <v>0</v>
      </c>
      <c r="E14" s="1621"/>
      <c r="F14" s="1989" t="str">
        <f>IF(C14=Mérleg"A"!C119,"OK",Mérleg"A"!C119-C14)</f>
        <v>OK</v>
      </c>
      <c r="G14" s="1989" t="str">
        <f>IF(D14=Mérleg"A"!E119,"OK",Mérleg"A"!E119-D14)</f>
        <v>OK</v>
      </c>
    </row>
    <row r="15" spans="1:7" s="744" customFormat="1" ht="15" customHeight="1" hidden="1">
      <c r="A15" s="928"/>
      <c r="B15" s="929"/>
      <c r="C15" s="1728"/>
      <c r="D15" s="1729"/>
      <c r="E15" s="1621"/>
      <c r="F15" s="1989"/>
      <c r="G15" s="1989"/>
    </row>
    <row r="16" spans="1:7" s="744" customFormat="1" ht="15" customHeight="1">
      <c r="A16" s="901"/>
      <c r="B16" s="914"/>
      <c r="C16" s="1718"/>
      <c r="D16" s="1713"/>
      <c r="E16" s="1621"/>
      <c r="F16" s="1989"/>
      <c r="G16" s="1989"/>
    </row>
    <row r="17" spans="1:7" s="744" customFormat="1" ht="15" customHeight="1">
      <c r="A17" s="901"/>
      <c r="B17" s="914"/>
      <c r="C17" s="1718"/>
      <c r="D17" s="1713"/>
      <c r="E17" s="1621"/>
      <c r="F17" s="1989"/>
      <c r="G17" s="1989"/>
    </row>
    <row r="18" spans="1:7" s="744" customFormat="1" ht="15" customHeight="1" thickBot="1">
      <c r="A18" s="936"/>
      <c r="B18" s="937"/>
      <c r="C18" s="1723"/>
      <c r="D18" s="1722"/>
      <c r="E18" s="1621"/>
      <c r="F18" s="1989"/>
      <c r="G18" s="1989"/>
    </row>
    <row r="19" spans="1:7" s="744" customFormat="1" ht="21" customHeight="1" thickBot="1">
      <c r="A19" s="2363" t="s">
        <v>326</v>
      </c>
      <c r="B19" s="2364"/>
      <c r="C19" s="1720">
        <f>SUM(C15:C18)</f>
        <v>0</v>
      </c>
      <c r="D19" s="1716">
        <f>SUM(D15:D18)</f>
        <v>0</v>
      </c>
      <c r="E19" s="1621"/>
      <c r="F19" s="1989" t="str">
        <f>IF(C19=Mérleg"A"!C120,"OK",Mérleg"A"!C120-C19)</f>
        <v>OK</v>
      </c>
      <c r="G19" s="1989" t="str">
        <f>IF(D19=Mérleg"A"!E120,"OK",Mérleg"A"!E120-D19)</f>
        <v>OK</v>
      </c>
    </row>
    <row r="20" spans="1:7" s="744" customFormat="1" ht="15" customHeight="1" hidden="1">
      <c r="A20" s="928"/>
      <c r="B20" s="929"/>
      <c r="C20" s="1728"/>
      <c r="D20" s="1729"/>
      <c r="E20" s="1621"/>
      <c r="F20" s="1989"/>
      <c r="G20" s="1989"/>
    </row>
    <row r="21" spans="1:7" s="744" customFormat="1" ht="15" customHeight="1">
      <c r="A21" s="901"/>
      <c r="B21" s="914"/>
      <c r="C21" s="1718"/>
      <c r="D21" s="1713"/>
      <c r="E21" s="1621"/>
      <c r="F21" s="1989"/>
      <c r="G21" s="1989"/>
    </row>
    <row r="22" spans="1:7" s="744" customFormat="1" ht="15" customHeight="1">
      <c r="A22" s="901"/>
      <c r="B22" s="914"/>
      <c r="C22" s="1718"/>
      <c r="D22" s="1713"/>
      <c r="E22" s="1621"/>
      <c r="F22" s="1989"/>
      <c r="G22" s="1989"/>
    </row>
    <row r="23" spans="1:7" s="744" customFormat="1" ht="15" customHeight="1" thickBot="1">
      <c r="A23" s="1778"/>
      <c r="B23" s="1779"/>
      <c r="C23" s="1723"/>
      <c r="D23" s="1722"/>
      <c r="E23" s="1621"/>
      <c r="F23" s="1989"/>
      <c r="G23" s="1989"/>
    </row>
    <row r="24" spans="1:7" s="744" customFormat="1" ht="15" customHeight="1" thickBot="1">
      <c r="A24" s="2371" t="s">
        <v>1213</v>
      </c>
      <c r="B24" s="2372"/>
      <c r="C24" s="1724">
        <f>SUM(C20:C23)</f>
        <v>0</v>
      </c>
      <c r="D24" s="1721">
        <f>SUM(D20:D23)</f>
        <v>0</v>
      </c>
      <c r="E24" s="1621"/>
      <c r="F24" s="1989" t="str">
        <f>IF(C24=Mérleg"A"!C121,"OK",Mérleg"A"!C121-C24)</f>
        <v>OK</v>
      </c>
      <c r="G24" s="1989" t="str">
        <f>IF(D24=Mérleg"A"!E121,"OK",Mérleg"A"!E121-D24)</f>
        <v>OK</v>
      </c>
    </row>
    <row r="25" spans="1:7" s="744" customFormat="1" ht="15" customHeight="1" thickBot="1">
      <c r="A25" s="2369"/>
      <c r="B25" s="2369"/>
      <c r="C25" s="1120"/>
      <c r="D25" s="1120"/>
      <c r="E25" s="1621"/>
      <c r="F25" s="1989"/>
      <c r="G25" s="1989"/>
    </row>
    <row r="26" spans="1:7" s="744" customFormat="1" ht="15" customHeight="1" thickBot="1">
      <c r="A26" s="2335" t="s">
        <v>775</v>
      </c>
      <c r="B26" s="2370"/>
      <c r="C26" s="1720">
        <f>SUM(C14,C19,C24)</f>
        <v>0</v>
      </c>
      <c r="D26" s="1716">
        <f>SUM(D14,D19,D24)</f>
        <v>0</v>
      </c>
      <c r="E26" s="1621"/>
      <c r="F26" s="1989" t="str">
        <f>IF(C26=Mérleg"A"!C118,"OK",Mérleg"A"!C118-C26)</f>
        <v>OK</v>
      </c>
      <c r="G26" s="1989" t="str">
        <f>IF(D26=Mérleg"A"!E118,"OK",Mérleg"A"!E118-D26)</f>
        <v>OK</v>
      </c>
    </row>
    <row r="27" spans="1:7" s="743" customFormat="1" ht="15" customHeight="1" thickBot="1">
      <c r="A27" s="742"/>
      <c r="B27" s="1036"/>
      <c r="C27" s="1039"/>
      <c r="D27" s="1039"/>
      <c r="E27" s="1622"/>
      <c r="F27" s="1623"/>
      <c r="G27" s="1623"/>
    </row>
    <row r="28" spans="1:7" s="743" customFormat="1" ht="15" customHeight="1" hidden="1">
      <c r="A28" s="1852"/>
      <c r="B28" s="1853"/>
      <c r="C28" s="1854"/>
      <c r="D28" s="1855"/>
      <c r="E28" s="1623"/>
      <c r="F28" s="1623"/>
      <c r="G28" s="1623"/>
    </row>
    <row r="29" spans="1:7" s="743" customFormat="1" ht="15" customHeight="1">
      <c r="A29" s="1791"/>
      <c r="B29" s="1797"/>
      <c r="C29" s="1795"/>
      <c r="D29" s="1792"/>
      <c r="E29" s="1623"/>
      <c r="F29" s="1623"/>
      <c r="G29" s="1623"/>
    </row>
    <row r="30" spans="1:7" s="743" customFormat="1" ht="15" customHeight="1">
      <c r="A30" s="1793"/>
      <c r="B30" s="1798"/>
      <c r="C30" s="1796"/>
      <c r="D30" s="1794"/>
      <c r="E30" s="1623"/>
      <c r="F30" s="1623"/>
      <c r="G30" s="1623"/>
    </row>
    <row r="31" spans="1:7" s="1041" customFormat="1" ht="15" customHeight="1" thickBot="1">
      <c r="A31" s="1815"/>
      <c r="B31" s="1821"/>
      <c r="C31" s="1819"/>
      <c r="D31" s="1816"/>
      <c r="E31" s="1624"/>
      <c r="F31" s="1624"/>
      <c r="G31" s="1624"/>
    </row>
    <row r="32" spans="1:7" s="1041" customFormat="1" ht="15" customHeight="1" thickBot="1">
      <c r="A32" s="1810" t="s">
        <v>1450</v>
      </c>
      <c r="B32" s="1805"/>
      <c r="C32" s="1806">
        <f>SUM(C27:C31)</f>
        <v>0</v>
      </c>
      <c r="D32" s="1807">
        <f>SUM(D27:D31)</f>
        <v>0</v>
      </c>
      <c r="E32" s="1624"/>
      <c r="F32" s="1989" t="str">
        <f>IF(C32=Mérleg"A"!C144,"OK",Mérleg"A"!C144-C32)</f>
        <v>OK</v>
      </c>
      <c r="G32" s="1989" t="str">
        <f>IF(D32=Mérleg"A"!E144,"OK",Mérleg"A"!E144-D32)</f>
        <v>OK</v>
      </c>
    </row>
    <row r="33" spans="1:7" ht="15" customHeight="1" hidden="1">
      <c r="A33" s="1809"/>
      <c r="B33" s="1802"/>
      <c r="C33" s="1803"/>
      <c r="D33" s="1804"/>
      <c r="E33" s="1619"/>
      <c r="F33" s="1619"/>
      <c r="G33" s="1619"/>
    </row>
    <row r="34" spans="1:7" ht="15" customHeight="1">
      <c r="A34" s="1793"/>
      <c r="B34" s="1798"/>
      <c r="C34" s="1796"/>
      <c r="D34" s="1794"/>
      <c r="E34" s="1619"/>
      <c r="F34" s="1619"/>
      <c r="G34" s="1619"/>
    </row>
    <row r="35" spans="1:7" ht="15" customHeight="1">
      <c r="A35" s="1793"/>
      <c r="B35" s="1798"/>
      <c r="C35" s="1796"/>
      <c r="D35" s="1794"/>
      <c r="E35" s="1619"/>
      <c r="F35" s="1619"/>
      <c r="G35" s="1619"/>
    </row>
    <row r="36" spans="1:7" ht="15" customHeight="1" thickBot="1">
      <c r="A36" s="1808"/>
      <c r="B36" s="1799"/>
      <c r="C36" s="1800"/>
      <c r="D36" s="1801"/>
      <c r="E36" s="1619"/>
      <c r="F36" s="1619"/>
      <c r="G36" s="1619"/>
    </row>
    <row r="37" spans="1:7" ht="15" customHeight="1" thickBot="1">
      <c r="A37" s="1810" t="s">
        <v>1451</v>
      </c>
      <c r="B37" s="1811"/>
      <c r="C37" s="1806">
        <f>SUM(C33:C36)</f>
        <v>0</v>
      </c>
      <c r="D37" s="1807">
        <f>SUM(D33:D36)</f>
        <v>0</v>
      </c>
      <c r="E37" s="1619"/>
      <c r="F37" s="1989" t="str">
        <f>IF(C37=Mérleg"A"!C145,"OK",Mérleg"A"!C145-C37)</f>
        <v>OK</v>
      </c>
      <c r="G37" s="1989" t="str">
        <f>IF(D37=Mérleg"A"!E145,"OK",Mérleg"A"!E145-D37)</f>
        <v>OK</v>
      </c>
    </row>
    <row r="38" spans="1:7" ht="15" customHeight="1" hidden="1">
      <c r="A38" s="1809"/>
      <c r="B38" s="1802"/>
      <c r="C38" s="1803"/>
      <c r="D38" s="1804"/>
      <c r="E38" s="1619"/>
      <c r="F38" s="1619"/>
      <c r="G38" s="1619"/>
    </row>
    <row r="39" spans="1:4" ht="15" customHeight="1">
      <c r="A39" s="1793"/>
      <c r="B39" s="1798"/>
      <c r="C39" s="1796"/>
      <c r="D39" s="1794"/>
    </row>
    <row r="40" spans="1:4" ht="15" customHeight="1">
      <c r="A40" s="1793"/>
      <c r="B40" s="1798"/>
      <c r="C40" s="1796"/>
      <c r="D40" s="1794"/>
    </row>
    <row r="41" spans="1:4" ht="15" customHeight="1" thickBot="1">
      <c r="A41" s="1808"/>
      <c r="B41" s="1799"/>
      <c r="C41" s="1800"/>
      <c r="D41" s="1801"/>
    </row>
    <row r="42" spans="1:7" ht="15" customHeight="1" thickBot="1">
      <c r="A42" s="1810" t="s">
        <v>1452</v>
      </c>
      <c r="B42" s="1811"/>
      <c r="C42" s="1806">
        <f>SUM(C38:C41)</f>
        <v>0</v>
      </c>
      <c r="D42" s="1807">
        <f>SUM(D38:D41)</f>
        <v>0</v>
      </c>
      <c r="F42" s="1989" t="str">
        <f>IF(C42=Mérleg"A"!C146,"OK",Mérleg"A"!C146-C42)</f>
        <v>OK</v>
      </c>
      <c r="G42" s="1989" t="str">
        <f>IF(D42=Mérleg"A"!E146,"OK",Mérleg"A"!E146-D42)</f>
        <v>OK</v>
      </c>
    </row>
    <row r="43" spans="1:4" ht="15" customHeight="1" hidden="1">
      <c r="A43" s="1809"/>
      <c r="B43" s="1802"/>
      <c r="C43" s="1803"/>
      <c r="D43" s="1804"/>
    </row>
    <row r="44" spans="1:4" ht="15" customHeight="1">
      <c r="A44" s="1793"/>
      <c r="B44" s="1798"/>
      <c r="C44" s="1796"/>
      <c r="D44" s="1794"/>
    </row>
    <row r="45" spans="1:4" ht="15" customHeight="1">
      <c r="A45" s="1793"/>
      <c r="B45" s="1798"/>
      <c r="C45" s="1796"/>
      <c r="D45" s="1794"/>
    </row>
    <row r="46" spans="1:4" ht="15" customHeight="1" thickBot="1">
      <c r="A46" s="1808"/>
      <c r="B46" s="1799"/>
      <c r="C46" s="1800"/>
      <c r="D46" s="1801"/>
    </row>
    <row r="47" spans="1:7" ht="15" customHeight="1" thickBot="1">
      <c r="A47" s="1810" t="s">
        <v>1453</v>
      </c>
      <c r="B47" s="1811"/>
      <c r="C47" s="1806">
        <f>SUM(C43:C46)</f>
        <v>0</v>
      </c>
      <c r="D47" s="1807">
        <f>SUM(D43:D46)</f>
        <v>0</v>
      </c>
      <c r="F47" s="1989" t="str">
        <f>IF(C47=Mérleg"A"!C147,"OK",Mérleg"A"!C147-C47)</f>
        <v>OK</v>
      </c>
      <c r="G47" s="1989" t="str">
        <f>IF(D47=Mérleg"A"!E147,"OK",Mérleg"A"!E147-D47)</f>
        <v>OK</v>
      </c>
    </row>
    <row r="48" spans="1:4" ht="15" customHeight="1" hidden="1">
      <c r="A48" s="1809"/>
      <c r="B48" s="1802"/>
      <c r="C48" s="1803"/>
      <c r="D48" s="1804"/>
    </row>
    <row r="49" spans="1:4" ht="15" customHeight="1">
      <c r="A49" s="1793"/>
      <c r="B49" s="1798"/>
      <c r="C49" s="1796"/>
      <c r="D49" s="1794"/>
    </row>
    <row r="50" spans="1:4" ht="15" customHeight="1">
      <c r="A50" s="1793"/>
      <c r="B50" s="1798"/>
      <c r="C50" s="1796"/>
      <c r="D50" s="1794"/>
    </row>
    <row r="51" spans="1:4" ht="15" customHeight="1" thickBot="1">
      <c r="A51" s="1808"/>
      <c r="B51" s="1799"/>
      <c r="C51" s="1800"/>
      <c r="D51" s="1801"/>
    </row>
    <row r="52" spans="1:7" ht="15" customHeight="1" thickBot="1">
      <c r="A52" s="1810" t="s">
        <v>1454</v>
      </c>
      <c r="B52" s="1811"/>
      <c r="C52" s="1806">
        <f>SUM(C48:C51)</f>
        <v>0</v>
      </c>
      <c r="D52" s="1807">
        <f>SUM(D48:D51)</f>
        <v>0</v>
      </c>
      <c r="F52" s="1989" t="str">
        <f>IF(C52=Mérleg"A"!C148,"OK",Mérleg"A"!C148-C52)</f>
        <v>OK</v>
      </c>
      <c r="G52" s="1989" t="str">
        <f>IF(D52=Mérleg"A"!E148,"OK",Mérleg"A"!E148-D52)</f>
        <v>OK</v>
      </c>
    </row>
    <row r="53" spans="1:4" ht="15" customHeight="1" hidden="1">
      <c r="A53" s="1809"/>
      <c r="B53" s="1802"/>
      <c r="C53" s="1803"/>
      <c r="D53" s="1804"/>
    </row>
    <row r="54" spans="1:4" ht="15" customHeight="1">
      <c r="A54" s="1793"/>
      <c r="B54" s="1798"/>
      <c r="C54" s="1796"/>
      <c r="D54" s="1794"/>
    </row>
    <row r="55" spans="1:4" ht="15" customHeight="1">
      <c r="A55" s="1793"/>
      <c r="B55" s="1798"/>
      <c r="C55" s="1796"/>
      <c r="D55" s="1794"/>
    </row>
    <row r="56" spans="1:4" ht="15" customHeight="1" thickBot="1">
      <c r="A56" s="1808"/>
      <c r="B56" s="1799"/>
      <c r="C56" s="1800"/>
      <c r="D56" s="1801"/>
    </row>
    <row r="57" spans="1:7" ht="15" customHeight="1" thickBot="1">
      <c r="A57" s="2361" t="s">
        <v>1224</v>
      </c>
      <c r="B57" s="2362"/>
      <c r="C57" s="1806">
        <f>SUM(C53:C56)</f>
        <v>0</v>
      </c>
      <c r="D57" s="1807">
        <f>SUM(D53:D56)</f>
        <v>0</v>
      </c>
      <c r="F57" s="1989" t="str">
        <f>IF(C57=Mérleg"A"!C149,"OK",Mérleg"A"!C149-C57)</f>
        <v>OK</v>
      </c>
      <c r="G57" s="1989" t="str">
        <f>IF(D57=Mérleg"A"!E149,"OK",Mérleg"A"!E149-D57)</f>
        <v>OK</v>
      </c>
    </row>
    <row r="58" spans="1:4" ht="15" customHeight="1" hidden="1">
      <c r="A58" s="1809"/>
      <c r="B58" s="1802"/>
      <c r="C58" s="1803"/>
      <c r="D58" s="1804"/>
    </row>
    <row r="59" spans="1:4" ht="15" customHeight="1">
      <c r="A59" s="1793"/>
      <c r="B59" s="1798"/>
      <c r="C59" s="1796"/>
      <c r="D59" s="1794"/>
    </row>
    <row r="60" spans="1:4" ht="15" customHeight="1">
      <c r="A60" s="1793"/>
      <c r="B60" s="1798"/>
      <c r="C60" s="1796"/>
      <c r="D60" s="1794"/>
    </row>
    <row r="61" spans="1:4" ht="15" customHeight="1" thickBot="1">
      <c r="A61" s="1808"/>
      <c r="B61" s="1799"/>
      <c r="C61" s="1800"/>
      <c r="D61" s="1801"/>
    </row>
    <row r="62" spans="1:7" ht="22.5" customHeight="1" thickBot="1">
      <c r="A62" s="2361" t="s">
        <v>1849</v>
      </c>
      <c r="B62" s="2362"/>
      <c r="C62" s="1806">
        <f>SUM(C58:C61)</f>
        <v>0</v>
      </c>
      <c r="D62" s="1807">
        <f>SUM(D58:D61)</f>
        <v>0</v>
      </c>
      <c r="F62" s="1989" t="str">
        <f>IF(C62=Mérleg"A"!C150,"OK",Mérleg"A"!C150-C62)</f>
        <v>OK</v>
      </c>
      <c r="G62" s="1989" t="str">
        <f>IF(D62=Mérleg"A"!E150,"OK",Mérleg"A"!E150-D62)</f>
        <v>OK</v>
      </c>
    </row>
    <row r="63" spans="1:4" ht="15" customHeight="1" hidden="1">
      <c r="A63" s="1809"/>
      <c r="B63" s="1802"/>
      <c r="C63" s="1803"/>
      <c r="D63" s="1804"/>
    </row>
    <row r="64" spans="1:4" ht="15" customHeight="1">
      <c r="A64" s="1793"/>
      <c r="B64" s="1798"/>
      <c r="C64" s="1796"/>
      <c r="D64" s="1794"/>
    </row>
    <row r="65" spans="1:4" ht="15" customHeight="1">
      <c r="A65" s="1793"/>
      <c r="B65" s="1798"/>
      <c r="C65" s="1796"/>
      <c r="D65" s="1794"/>
    </row>
    <row r="66" spans="1:4" ht="15" customHeight="1" thickBot="1">
      <c r="A66" s="1808"/>
      <c r="B66" s="1799"/>
      <c r="C66" s="1800"/>
      <c r="D66" s="1801"/>
    </row>
    <row r="67" spans="1:7" ht="15" customHeight="1" thickBot="1">
      <c r="A67" s="2363" t="s">
        <v>1455</v>
      </c>
      <c r="B67" s="2364"/>
      <c r="C67" s="1806">
        <f>SUM(C63:C66)</f>
        <v>0</v>
      </c>
      <c r="D67" s="1807">
        <f>SUM(D63:D66)</f>
        <v>0</v>
      </c>
      <c r="F67" s="1989" t="str">
        <f>IF(C67=Mérleg"A"!C151,"OK",Mérleg"A"!C151-C67)</f>
        <v>OK</v>
      </c>
      <c r="G67" s="1989" t="str">
        <f>IF(D67=Mérleg"A"!E151,"OK",Mérleg"A"!E151-D67)</f>
        <v>OK</v>
      </c>
    </row>
    <row r="68" spans="1:4" ht="15" customHeight="1" thickBot="1">
      <c r="A68" s="1812"/>
      <c r="B68" s="1813"/>
      <c r="C68" s="1814"/>
      <c r="D68" s="1813"/>
    </row>
    <row r="69" spans="1:7" ht="15" customHeight="1" thickBot="1">
      <c r="A69" s="2363" t="s">
        <v>777</v>
      </c>
      <c r="B69" s="2364"/>
      <c r="C69" s="1806">
        <f>SUM(C32,C37,C42,C47,C52,C57,C62,C67)</f>
        <v>0</v>
      </c>
      <c r="D69" s="1807">
        <f>SUM(D32,D37,D42,D47,D52,D57,D62,D67)</f>
        <v>0</v>
      </c>
      <c r="F69" s="1989" t="str">
        <f>IF(C69=Mérleg"A"!C143,"OK",Mérleg"A"!C143-C69)</f>
        <v>OK</v>
      </c>
      <c r="G69" s="1989" t="str">
        <f>IF(D69=Mérleg"A"!E143,"OK",Mérleg"A"!E143-D69)</f>
        <v>OK</v>
      </c>
    </row>
    <row r="70" ht="15" customHeight="1" thickBot="1"/>
    <row r="71" spans="1:4" ht="15" customHeight="1" hidden="1">
      <c r="A71" s="1852"/>
      <c r="B71" s="1853"/>
      <c r="C71" s="1854"/>
      <c r="D71" s="1855"/>
    </row>
    <row r="72" spans="1:4" ht="15" customHeight="1">
      <c r="A72" s="1791"/>
      <c r="B72" s="1797"/>
      <c r="C72" s="1795"/>
      <c r="D72" s="1792"/>
    </row>
    <row r="73" spans="1:4" ht="15" customHeight="1">
      <c r="A73" s="1793"/>
      <c r="B73" s="1798"/>
      <c r="C73" s="1796"/>
      <c r="D73" s="1794"/>
    </row>
    <row r="74" spans="1:4" ht="15" customHeight="1" thickBot="1">
      <c r="A74" s="1815"/>
      <c r="B74" s="1821"/>
      <c r="C74" s="1819"/>
      <c r="D74" s="1816"/>
    </row>
    <row r="75" spans="1:7" ht="15" customHeight="1" thickBot="1">
      <c r="A75" s="1810" t="s">
        <v>1456</v>
      </c>
      <c r="B75" s="1811"/>
      <c r="C75" s="1806">
        <f>SUM(C70:C74)</f>
        <v>0</v>
      </c>
      <c r="D75" s="1807">
        <f>SUM(D70:D74)</f>
        <v>0</v>
      </c>
      <c r="F75" s="1989" t="str">
        <f>IF(C75=Mérleg"A"!C153,"OK",Mérleg"A"!C153-C75)</f>
        <v>OK</v>
      </c>
      <c r="G75" s="1989" t="str">
        <f>IF(D75=Mérleg"A"!E153,"OK",Mérleg"A"!E153-D75)</f>
        <v>OK</v>
      </c>
    </row>
    <row r="76" spans="1:4" ht="15" customHeight="1" hidden="1">
      <c r="A76" s="1791"/>
      <c r="B76" s="1797"/>
      <c r="C76" s="1795"/>
      <c r="D76" s="1792"/>
    </row>
    <row r="77" spans="1:4" ht="15" customHeight="1">
      <c r="A77" s="1793"/>
      <c r="B77" s="1798"/>
      <c r="C77" s="1796"/>
      <c r="D77" s="1794"/>
    </row>
    <row r="78" spans="1:4" ht="15" customHeight="1">
      <c r="A78" s="1793"/>
      <c r="B78" s="1798"/>
      <c r="C78" s="1796"/>
      <c r="D78" s="1794"/>
    </row>
    <row r="79" spans="1:4" ht="15" customHeight="1" thickBot="1">
      <c r="A79" s="1815"/>
      <c r="B79" s="1821"/>
      <c r="C79" s="1819"/>
      <c r="D79" s="1816"/>
    </row>
    <row r="80" spans="1:7" ht="15" customHeight="1" thickBot="1">
      <c r="A80" s="1810" t="s">
        <v>1457</v>
      </c>
      <c r="B80" s="1811"/>
      <c r="C80" s="1806">
        <f>SUM(C76:C79)</f>
        <v>0</v>
      </c>
      <c r="D80" s="1807">
        <f>SUM(D76:D79)</f>
        <v>0</v>
      </c>
      <c r="F80" s="1989" t="str">
        <f>IF(C80=Mérleg"A"!C155,"OK",Mérleg"A"!C155-C80)</f>
        <v>OK</v>
      </c>
      <c r="G80" s="1989" t="str">
        <f>IF(D80=Mérleg"A"!E155,"OK",Mérleg"A"!E155-D80)</f>
        <v>OK</v>
      </c>
    </row>
    <row r="81" spans="1:4" ht="15" customHeight="1" hidden="1">
      <c r="A81" s="1791"/>
      <c r="B81" s="1797"/>
      <c r="C81" s="1795"/>
      <c r="D81" s="1792"/>
    </row>
    <row r="82" spans="1:4" ht="15" customHeight="1">
      <c r="A82" s="1793"/>
      <c r="B82" s="1798"/>
      <c r="C82" s="1796"/>
      <c r="D82" s="1794"/>
    </row>
    <row r="83" spans="1:4" ht="15" customHeight="1">
      <c r="A83" s="1793"/>
      <c r="B83" s="1798"/>
      <c r="C83" s="1796"/>
      <c r="D83" s="1794"/>
    </row>
    <row r="84" spans="1:4" ht="15" customHeight="1" thickBot="1">
      <c r="A84" s="1815"/>
      <c r="B84" s="1821"/>
      <c r="C84" s="1819"/>
      <c r="D84" s="1816"/>
    </row>
    <row r="85" spans="1:7" ht="15" customHeight="1" thickBot="1">
      <c r="A85" s="1810" t="s">
        <v>485</v>
      </c>
      <c r="B85" s="1811"/>
      <c r="C85" s="1806">
        <f>SUM(C81:C84)</f>
        <v>0</v>
      </c>
      <c r="D85" s="1807">
        <f>SUM(D81:D84)</f>
        <v>0</v>
      </c>
      <c r="F85" s="1989" t="str">
        <f>IF(C85=Mérleg"A"!C156,"OK",Mérleg"A"!C156-C85)</f>
        <v>OK</v>
      </c>
      <c r="G85" s="1989" t="str">
        <f>IF(D85=Mérleg"A"!E156,"OK",Mérleg"A"!E156-D85)</f>
        <v>OK</v>
      </c>
    </row>
    <row r="86" spans="1:4" ht="15" customHeight="1" hidden="1">
      <c r="A86" s="1791"/>
      <c r="B86" s="1797"/>
      <c r="C86" s="1795"/>
      <c r="D86" s="1792"/>
    </row>
    <row r="87" spans="1:4" ht="15" customHeight="1" hidden="1">
      <c r="A87" s="1793"/>
      <c r="B87" s="1798"/>
      <c r="C87" s="1796"/>
      <c r="D87" s="1794"/>
    </row>
    <row r="88" spans="1:4" ht="15" customHeight="1" hidden="1">
      <c r="A88" s="1793"/>
      <c r="B88" s="1798"/>
      <c r="C88" s="1796"/>
      <c r="D88" s="1794"/>
    </row>
    <row r="89" spans="1:4" ht="15" customHeight="1" hidden="1" thickBot="1">
      <c r="A89" s="1815"/>
      <c r="B89" s="1821"/>
      <c r="C89" s="1819"/>
      <c r="D89" s="1816"/>
    </row>
    <row r="90" spans="1:4" ht="15" customHeight="1" thickBot="1">
      <c r="A90" s="1810" t="s">
        <v>157</v>
      </c>
      <c r="B90" s="1811"/>
      <c r="C90" s="1806">
        <f>'L.F.III'!I26</f>
        <v>0</v>
      </c>
      <c r="D90" s="1807">
        <f>'L.F.III'!J26</f>
        <v>0</v>
      </c>
    </row>
    <row r="91" spans="1:4" ht="15" customHeight="1" hidden="1">
      <c r="A91" s="1791"/>
      <c r="B91" s="1797"/>
      <c r="C91" s="1795"/>
      <c r="D91" s="1792"/>
    </row>
    <row r="92" spans="1:4" ht="15" customHeight="1">
      <c r="A92" s="1793"/>
      <c r="B92" s="1798"/>
      <c r="C92" s="1796"/>
      <c r="D92" s="1794"/>
    </row>
    <row r="93" spans="1:4" ht="15" customHeight="1">
      <c r="A93" s="1793"/>
      <c r="B93" s="1798"/>
      <c r="C93" s="1796"/>
      <c r="D93" s="1794"/>
    </row>
    <row r="94" spans="1:4" ht="15" customHeight="1" thickBot="1">
      <c r="A94" s="1815"/>
      <c r="B94" s="1821"/>
      <c r="C94" s="1819"/>
      <c r="D94" s="1816"/>
    </row>
    <row r="95" spans="1:7" ht="15" customHeight="1" thickBot="1">
      <c r="A95" s="1810" t="s">
        <v>486</v>
      </c>
      <c r="B95" s="1832"/>
      <c r="C95" s="1806">
        <f>SUM(C91:C94)</f>
        <v>0</v>
      </c>
      <c r="D95" s="1807">
        <f>SUM(D91:D94)</f>
        <v>0</v>
      </c>
      <c r="F95" s="1989" t="str">
        <f>IF(C95=Mérleg"A"!C158,"OK",Mérleg"A"!C158-C95)</f>
        <v>OK</v>
      </c>
      <c r="G95" s="1989" t="str">
        <f>IF(D95=Mérleg"A"!E158,"OK",Mérleg"A"!E158-D95)</f>
        <v>OK</v>
      </c>
    </row>
    <row r="96" spans="1:4" ht="15" customHeight="1" hidden="1">
      <c r="A96" s="1791"/>
      <c r="B96" s="1797"/>
      <c r="C96" s="1795"/>
      <c r="D96" s="1792"/>
    </row>
    <row r="97" spans="1:4" ht="15" customHeight="1">
      <c r="A97" s="1793"/>
      <c r="B97" s="1798"/>
      <c r="C97" s="1796"/>
      <c r="D97" s="1794"/>
    </row>
    <row r="98" spans="1:4" ht="15" customHeight="1">
      <c r="A98" s="1793"/>
      <c r="B98" s="1798"/>
      <c r="C98" s="1796"/>
      <c r="D98" s="1794"/>
    </row>
    <row r="99" spans="1:4" ht="15" customHeight="1" thickBot="1">
      <c r="A99" s="1815"/>
      <c r="B99" s="1821"/>
      <c r="C99" s="1819"/>
      <c r="D99" s="1816"/>
    </row>
    <row r="100" spans="1:7" ht="22.5" customHeight="1" thickBot="1">
      <c r="A100" s="2361" t="str">
        <f>'L.F.III'!A36</f>
        <v>Rövid lejáratú köt-ek kapcsolt vállalkozással szemben</v>
      </c>
      <c r="B100" s="2362"/>
      <c r="C100" s="1806">
        <f>SUM(C96:C99)</f>
        <v>0</v>
      </c>
      <c r="D100" s="1807">
        <f>SUM(D96:D99)</f>
        <v>0</v>
      </c>
      <c r="F100" s="1989" t="str">
        <f>IF(C100=Mérleg"A"!C159,"OK",Mérleg"A"!C159-C100)</f>
        <v>OK</v>
      </c>
      <c r="G100" s="1989" t="str">
        <f>IF(D100=Mérleg"A"!E159,"OK",Mérleg"A"!E159-D100)</f>
        <v>OK</v>
      </c>
    </row>
    <row r="101" spans="1:4" ht="15" customHeight="1" hidden="1">
      <c r="A101" s="1823"/>
      <c r="B101" s="1824"/>
      <c r="C101" s="1825"/>
      <c r="D101" s="1826"/>
    </row>
    <row r="102" spans="1:4" ht="15" customHeight="1">
      <c r="A102" s="1817"/>
      <c r="B102" s="1822"/>
      <c r="C102" s="1820"/>
      <c r="D102" s="1818"/>
    </row>
    <row r="103" spans="1:4" ht="15" customHeight="1">
      <c r="A103" s="1817"/>
      <c r="B103" s="1822"/>
      <c r="C103" s="1820"/>
      <c r="D103" s="1818"/>
    </row>
    <row r="104" spans="1:4" ht="15" customHeight="1" thickBot="1">
      <c r="A104" s="1827"/>
      <c r="B104" s="1828"/>
      <c r="C104" s="1829"/>
      <c r="D104" s="1830"/>
    </row>
    <row r="105" spans="1:7" ht="21" customHeight="1" thickBot="1">
      <c r="A105" s="2361" t="s">
        <v>926</v>
      </c>
      <c r="B105" s="2362"/>
      <c r="C105" s="1806">
        <f>SUM(C101:C104)</f>
        <v>0</v>
      </c>
      <c r="D105" s="1807">
        <f>SUM(D101:D104)</f>
        <v>0</v>
      </c>
      <c r="F105" s="1989" t="str">
        <f>IF(C105=Mérleg"A"!C160,"OK",Mérleg"A"!C160-C105)</f>
        <v>OK</v>
      </c>
      <c r="G105" s="1989" t="str">
        <f>IF(D105=Mérleg"A"!E160,"OK",Mérleg"A"!E160-D105)</f>
        <v>OK</v>
      </c>
    </row>
    <row r="106" spans="1:4" ht="15" customHeight="1" hidden="1">
      <c r="A106" s="1791"/>
      <c r="B106" s="1797"/>
      <c r="C106" s="1795"/>
      <c r="D106" s="1792"/>
    </row>
    <row r="107" spans="1:4" ht="15" customHeight="1">
      <c r="A107" s="1793"/>
      <c r="B107" s="1798"/>
      <c r="C107" s="1796"/>
      <c r="D107" s="1794"/>
    </row>
    <row r="108" spans="1:4" ht="15" customHeight="1">
      <c r="A108" s="1793"/>
      <c r="B108" s="1798"/>
      <c r="C108" s="1796"/>
      <c r="D108" s="1794"/>
    </row>
    <row r="109" spans="1:4" ht="15" customHeight="1" thickBot="1">
      <c r="A109" s="1815"/>
      <c r="B109" s="1821"/>
      <c r="C109" s="1819"/>
      <c r="D109" s="1816"/>
    </row>
    <row r="110" spans="1:7" ht="15" customHeight="1" thickBot="1">
      <c r="A110" s="2363" t="s">
        <v>1460</v>
      </c>
      <c r="B110" s="2364"/>
      <c r="C110" s="1806">
        <f>SUM(C106:C109)</f>
        <v>0</v>
      </c>
      <c r="D110" s="1807">
        <f>SUM(D106:D109)</f>
        <v>0</v>
      </c>
      <c r="F110" s="1989" t="str">
        <f>IF(C110=Mérleg"A"!C161,"OK",Mérleg"A"!C161-C110)</f>
        <v>OK</v>
      </c>
      <c r="G110" s="1989" t="str">
        <f>IF(D110=Mérleg"A"!E161,"OK",Mérleg"A"!E161-D110)</f>
        <v>OK</v>
      </c>
    </row>
    <row r="111" spans="1:4" ht="15" customHeight="1" thickBot="1">
      <c r="A111" s="1132"/>
      <c r="B111" s="1132"/>
      <c r="C111" s="1132"/>
      <c r="D111" s="1132"/>
    </row>
    <row r="112" spans="1:7" ht="15" customHeight="1" thickBot="1">
      <c r="A112" s="2363" t="s">
        <v>779</v>
      </c>
      <c r="B112" s="2364"/>
      <c r="C112" s="1831">
        <f>SUM(C75,C80,C85,C90,C95,C100,C105,C110)</f>
        <v>0</v>
      </c>
      <c r="D112" s="1807">
        <f>SUM(D75,D80,D85,D90,D95,D100,D105,D110)</f>
        <v>0</v>
      </c>
      <c r="F112" s="1989" t="str">
        <f>IF(C112=Mérleg"A"!C152,"OK",Mérleg"A"!C152-C112)</f>
        <v>OK</v>
      </c>
      <c r="G112" s="1989" t="str">
        <f>IF(D112=Mérleg"A"!E152,"OK",Mérleg"A"!E152-D112)</f>
        <v>OK</v>
      </c>
    </row>
  </sheetData>
  <mergeCells count="15">
    <mergeCell ref="A112:B112"/>
    <mergeCell ref="A69:B69"/>
    <mergeCell ref="A100:B100"/>
    <mergeCell ref="A105:B105"/>
    <mergeCell ref="A110:B110"/>
    <mergeCell ref="C8:D8"/>
    <mergeCell ref="A57:B57"/>
    <mergeCell ref="A62:B62"/>
    <mergeCell ref="A67:B67"/>
    <mergeCell ref="A8:B9"/>
    <mergeCell ref="A25:B25"/>
    <mergeCell ref="A26:B26"/>
    <mergeCell ref="A14:B14"/>
    <mergeCell ref="A19:B19"/>
    <mergeCell ref="A24:B24"/>
  </mergeCells>
  <printOptions horizontalCentered="1"/>
  <pageMargins left="0.7874015748031497" right="0.7874015748031497" top="0.5905511811023623" bottom="0.72" header="0.3937007874015748" footer="0.4"/>
  <pageSetup horizontalDpi="600" verticalDpi="600" orientation="portrait" paperSize="9" r:id="rId2"/>
  <headerFooter alignWithMargins="0">
    <oddFooter>&amp;C&amp;P/&amp;N&amp;R&amp;A</oddFooter>
  </headerFooter>
  <drawing r:id="rId1"/>
</worksheet>
</file>

<file path=xl/worksheets/sheet37.xml><?xml version="1.0" encoding="utf-8"?>
<worksheet xmlns="http://schemas.openxmlformats.org/spreadsheetml/2006/main" xmlns:r="http://schemas.openxmlformats.org/officeDocument/2006/relationships">
  <sheetPr codeName="Munka28">
    <tabColor indexed="11"/>
  </sheetPr>
  <dimension ref="A1:H26"/>
  <sheetViews>
    <sheetView workbookViewId="0" topLeftCell="A1">
      <selection activeCell="C8" sqref="C8:D8"/>
    </sheetView>
  </sheetViews>
  <sheetFormatPr defaultColWidth="9.00390625" defaultRowHeight="12.75"/>
  <cols>
    <col min="1" max="1" width="26.875" style="521" customWidth="1"/>
    <col min="2" max="2" width="35.375" style="521" customWidth="1"/>
    <col min="3" max="4" width="11.75390625" style="521" customWidth="1"/>
    <col min="5" max="16384" width="9.125" style="521" customWidth="1"/>
  </cols>
  <sheetData>
    <row r="1" spans="1:4" s="372" customFormat="1" ht="15">
      <c r="A1" s="387" t="str">
        <f>'III.F'!A1</f>
        <v>Komáromi Távhő Kft</v>
      </c>
      <c r="B1" s="470"/>
      <c r="C1" s="470"/>
      <c r="D1" s="389" t="str">
        <f>'III.F'!D1</f>
        <v>Kiegészítő melléklet 2016. december 31.Hőszolgáltatás </v>
      </c>
    </row>
    <row r="2" spans="1:4" s="372" customFormat="1" ht="15">
      <c r="A2" s="387"/>
      <c r="B2" s="470"/>
      <c r="C2" s="470"/>
      <c r="D2" s="389" t="str">
        <f>'III.F'!D2</f>
        <v>II. Tájékoztató kiegészítések</v>
      </c>
    </row>
    <row r="3" spans="1:4" s="372" customFormat="1" ht="15">
      <c r="A3" s="387"/>
      <c r="B3" s="470"/>
      <c r="C3" s="470"/>
      <c r="D3" s="389"/>
    </row>
    <row r="4" spans="1:6" s="372" customFormat="1" ht="14.25" customHeight="1">
      <c r="A4" s="2373" t="str">
        <f>KiegMell!A31</f>
        <v>A közzétett adatokat könyvvizsgáló ellenőrizte</v>
      </c>
      <c r="B4" s="2373"/>
      <c r="C4" s="2373"/>
      <c r="D4" s="2373"/>
      <c r="E4" s="472"/>
      <c r="F4" s="472"/>
    </row>
    <row r="5" ht="12.75"/>
    <row r="6" spans="1:4" ht="18">
      <c r="A6" s="583" t="s">
        <v>359</v>
      </c>
      <c r="B6" s="584"/>
      <c r="C6" s="584"/>
      <c r="D6" s="584"/>
    </row>
    <row r="7" ht="13.5" thickBot="1">
      <c r="D7" s="1569" t="str">
        <f>'III.F'!D7</f>
        <v>Adatok E Ft-ban</v>
      </c>
    </row>
    <row r="8" spans="1:4" s="585" customFormat="1" ht="21" customHeight="1" thickBot="1">
      <c r="A8" s="2376" t="s">
        <v>494</v>
      </c>
      <c r="B8" s="2377"/>
      <c r="C8" s="2380" t="s">
        <v>43</v>
      </c>
      <c r="D8" s="2381"/>
    </row>
    <row r="9" spans="1:8" s="585" customFormat="1" ht="21" customHeight="1" thickBot="1">
      <c r="A9" s="2378"/>
      <c r="B9" s="2379"/>
      <c r="C9" s="1843" t="s">
        <v>603</v>
      </c>
      <c r="D9" s="1844" t="s">
        <v>922</v>
      </c>
      <c r="E9" s="604"/>
      <c r="F9" s="1981" t="s">
        <v>603</v>
      </c>
      <c r="G9" s="1982" t="s">
        <v>922</v>
      </c>
      <c r="H9" s="604"/>
    </row>
    <row r="10" spans="1:8" s="586" customFormat="1" ht="21" customHeight="1" hidden="1">
      <c r="A10" s="1839"/>
      <c r="B10" s="1840"/>
      <c r="C10" s="1841"/>
      <c r="D10" s="1842"/>
      <c r="E10" s="603"/>
      <c r="H10" s="603"/>
    </row>
    <row r="11" spans="1:8" s="586" customFormat="1" ht="21" customHeight="1">
      <c r="A11" s="1833"/>
      <c r="B11" s="1834"/>
      <c r="C11" s="1837"/>
      <c r="D11" s="1838"/>
      <c r="E11" s="603"/>
      <c r="H11" s="603"/>
    </row>
    <row r="12" spans="1:8" s="586" customFormat="1" ht="21" customHeight="1">
      <c r="A12" s="1835"/>
      <c r="B12" s="1834"/>
      <c r="C12" s="1837"/>
      <c r="D12" s="1838"/>
      <c r="H12" s="603"/>
    </row>
    <row r="13" spans="1:8" s="586" customFormat="1" ht="21" customHeight="1" thickBot="1">
      <c r="A13" s="1845"/>
      <c r="B13" s="1846"/>
      <c r="C13" s="1847"/>
      <c r="D13" s="1848"/>
      <c r="E13" s="603"/>
      <c r="H13" s="603"/>
    </row>
    <row r="14" spans="1:8" s="586" customFormat="1" ht="21" customHeight="1" thickBot="1">
      <c r="A14" s="2374" t="s">
        <v>327</v>
      </c>
      <c r="B14" s="2375"/>
      <c r="C14" s="1849">
        <f>SUM(C10:C13)</f>
        <v>0</v>
      </c>
      <c r="D14" s="1850">
        <f>SUM(D10:D13)</f>
        <v>0</v>
      </c>
      <c r="E14" s="605"/>
      <c r="F14" s="1978" t="str">
        <f>IF(C14=Mérleg"A"!C163,"OK",Mérleg"A"!C163-'III.B.II'!C14)</f>
        <v>OK</v>
      </c>
      <c r="G14" s="1978" t="str">
        <f>IF(D14=Mérleg"A"!E163,"OK",Mérleg"A"!E163-'III.B.II'!D14)</f>
        <v>OK</v>
      </c>
      <c r="H14" s="603"/>
    </row>
    <row r="15" spans="1:8" s="586" customFormat="1" ht="21" customHeight="1" hidden="1">
      <c r="A15" s="1839"/>
      <c r="B15" s="1840"/>
      <c r="C15" s="1841"/>
      <c r="D15" s="1842"/>
      <c r="E15" s="603"/>
      <c r="H15" s="603"/>
    </row>
    <row r="16" spans="1:8" s="586" customFormat="1" ht="21" customHeight="1">
      <c r="A16" s="1836"/>
      <c r="B16" s="1834"/>
      <c r="C16" s="1837"/>
      <c r="D16" s="1838"/>
      <c r="E16" s="603"/>
      <c r="H16" s="603"/>
    </row>
    <row r="17" spans="1:8" s="586" customFormat="1" ht="21" customHeight="1">
      <c r="A17" s="1835"/>
      <c r="B17" s="1834"/>
      <c r="C17" s="1837"/>
      <c r="D17" s="1838"/>
      <c r="E17" s="603"/>
      <c r="H17" s="603"/>
    </row>
    <row r="18" spans="1:8" s="586" customFormat="1" ht="21" customHeight="1" thickBot="1">
      <c r="A18" s="1845"/>
      <c r="B18" s="1846"/>
      <c r="C18" s="1847"/>
      <c r="D18" s="1848"/>
      <c r="E18" s="603"/>
      <c r="H18" s="603"/>
    </row>
    <row r="19" spans="1:8" s="586" customFormat="1" ht="21" customHeight="1" thickBot="1">
      <c r="A19" s="2374" t="s">
        <v>243</v>
      </c>
      <c r="B19" s="2375"/>
      <c r="C19" s="1849">
        <f>SUM(C15:C18)</f>
        <v>0</v>
      </c>
      <c r="D19" s="1850">
        <f>SUM(D15:D18)</f>
        <v>0</v>
      </c>
      <c r="E19" s="605"/>
      <c r="F19" s="1978" t="str">
        <f>IF(C19=Mérleg"A"!C164,"OK",Mérleg"A"!C164-'III.B.II'!C19)</f>
        <v>OK</v>
      </c>
      <c r="G19" s="1978" t="str">
        <f>IF(D19=Mérleg"A"!E164,"OK",Mérleg"A"!E164-'III.B.II'!D19)</f>
        <v>OK</v>
      </c>
      <c r="H19" s="603"/>
    </row>
    <row r="20" spans="1:8" s="586" customFormat="1" ht="21" customHeight="1" hidden="1">
      <c r="A20" s="1839"/>
      <c r="B20" s="1840"/>
      <c r="C20" s="1841"/>
      <c r="D20" s="1842"/>
      <c r="E20" s="603"/>
      <c r="H20" s="603"/>
    </row>
    <row r="21" spans="1:8" s="586" customFormat="1" ht="21" customHeight="1">
      <c r="A21" s="1836"/>
      <c r="B21" s="1834"/>
      <c r="C21" s="1837"/>
      <c r="D21" s="1838"/>
      <c r="E21" s="603"/>
      <c r="H21" s="603"/>
    </row>
    <row r="22" spans="1:8" s="586" customFormat="1" ht="21" customHeight="1">
      <c r="A22" s="1835"/>
      <c r="B22" s="1834"/>
      <c r="C22" s="1837"/>
      <c r="D22" s="1838"/>
      <c r="E22" s="603"/>
      <c r="H22" s="603"/>
    </row>
    <row r="23" spans="1:8" s="586" customFormat="1" ht="21" customHeight="1" thickBot="1">
      <c r="A23" s="1845"/>
      <c r="B23" s="1846"/>
      <c r="C23" s="1847"/>
      <c r="D23" s="1848"/>
      <c r="E23" s="603"/>
      <c r="H23" s="603"/>
    </row>
    <row r="24" spans="1:8" s="586" customFormat="1" ht="21" customHeight="1" thickBot="1">
      <c r="A24" s="2374" t="s">
        <v>1463</v>
      </c>
      <c r="B24" s="2375"/>
      <c r="C24" s="1849">
        <f>SUM(C20:C23)</f>
        <v>0</v>
      </c>
      <c r="D24" s="1850">
        <f>SUM(D20:D23)</f>
        <v>0</v>
      </c>
      <c r="E24" s="605"/>
      <c r="F24" s="1978" t="str">
        <f>IF(C24=Mérleg"A"!C165,"OK",Mérleg"A"!C165-'III.B.II'!C24)</f>
        <v>OK</v>
      </c>
      <c r="G24" s="1978" t="str">
        <f>IF(D24=Mérleg"A"!E165,"OK",Mérleg"A"!E165-'III.B.II'!D24)</f>
        <v>OK</v>
      </c>
      <c r="H24" s="603"/>
    </row>
    <row r="25" spans="1:4" s="586" customFormat="1" ht="21" customHeight="1" thickBot="1">
      <c r="A25" s="585"/>
      <c r="B25" s="585"/>
      <c r="D25" s="587"/>
    </row>
    <row r="26" spans="1:7" s="586" customFormat="1" ht="21" customHeight="1" thickBot="1">
      <c r="A26" s="2374" t="s">
        <v>328</v>
      </c>
      <c r="B26" s="2375"/>
      <c r="C26" s="1851">
        <f>SUM(C14,C19,C24)</f>
        <v>0</v>
      </c>
      <c r="D26" s="1850">
        <f>SUM(D14,D19,D24)</f>
        <v>0</v>
      </c>
      <c r="F26" s="1978" t="str">
        <f>IF(C26=Mérleg"A"!C162,"OK",Mérleg"A"!C162-'III.B.II'!C26)</f>
        <v>OK</v>
      </c>
      <c r="G26" s="1978" t="str">
        <f>IF(D26=Mérleg"A"!E162,"OK",Mérleg"A"!E162-'III.B.II'!D26)</f>
        <v>OK</v>
      </c>
    </row>
    <row r="30" ht="12.75"/>
  </sheetData>
  <mergeCells count="7">
    <mergeCell ref="A4:D4"/>
    <mergeCell ref="A24:B24"/>
    <mergeCell ref="A26:B26"/>
    <mergeCell ref="A8:B9"/>
    <mergeCell ref="C8:D8"/>
    <mergeCell ref="A14:B14"/>
    <mergeCell ref="A19:B19"/>
  </mergeCells>
  <printOptions/>
  <pageMargins left="0.7874015748031497" right="0.7874015748031497" top="0.5905511811023623" bottom="0.984251968503937" header="0.3937007874015748" footer="0.5118110236220472"/>
  <pageSetup horizontalDpi="1200" verticalDpi="1200" orientation="portrait" paperSize="9" r:id="rId4"/>
  <headerFooter alignWithMargins="0">
    <oddFooter>&amp;C&amp;P/&amp;N&amp;R&amp;A</oddFooter>
  </headerFooter>
  <drawing r:id="rId3"/>
  <legacyDrawing r:id="rId2"/>
</worksheet>
</file>

<file path=xl/worksheets/sheet38.xml><?xml version="1.0" encoding="utf-8"?>
<worksheet xmlns="http://schemas.openxmlformats.org/spreadsheetml/2006/main" xmlns:r="http://schemas.openxmlformats.org/officeDocument/2006/relationships">
  <sheetPr codeName="Munka29"/>
  <dimension ref="A1:J143"/>
  <sheetViews>
    <sheetView workbookViewId="0" topLeftCell="A1">
      <selection activeCell="B21" sqref="B21:C21"/>
    </sheetView>
  </sheetViews>
  <sheetFormatPr defaultColWidth="9.00390625" defaultRowHeight="12.75"/>
  <cols>
    <col min="1" max="1" width="36.75390625" style="388" customWidth="1"/>
    <col min="2" max="3" width="15.75390625" style="388" customWidth="1"/>
    <col min="4" max="4" width="17.75390625" style="388" customWidth="1"/>
    <col min="5" max="5" width="9.25390625" style="388" customWidth="1"/>
    <col min="6" max="16384" width="9.125" style="388" customWidth="1"/>
  </cols>
  <sheetData>
    <row r="1" spans="1:4" s="372" customFormat="1" ht="15">
      <c r="A1" s="387" t="str">
        <f>'III.G'!A1</f>
        <v>Komáromi Távhő Kft</v>
      </c>
      <c r="B1" s="470"/>
      <c r="C1" s="470"/>
      <c r="D1" s="389" t="str">
        <f>'III.G'!D1</f>
        <v>Kiegészítő melléklet 2016. december 31.Hőszolgáltatás </v>
      </c>
    </row>
    <row r="2" spans="1:4" s="372" customFormat="1" ht="15">
      <c r="A2" s="387"/>
      <c r="B2" s="470"/>
      <c r="C2" s="470"/>
      <c r="D2" s="389" t="str">
        <f>'III.G'!D2</f>
        <v>II. Tájékoztató kiegészítések</v>
      </c>
    </row>
    <row r="3" spans="1:4" s="372" customFormat="1" ht="15">
      <c r="A3" s="387"/>
      <c r="B3" s="470"/>
      <c r="C3" s="470"/>
      <c r="D3" s="389"/>
    </row>
    <row r="4" spans="1:4" s="372" customFormat="1" ht="15">
      <c r="A4" s="411" t="str">
        <f>'III.G'!A4</f>
        <v>A közzétett adatokat könyvvizsgáló ellenőrizte</v>
      </c>
      <c r="B4" s="1634"/>
      <c r="C4" s="1634"/>
      <c r="D4" s="396"/>
    </row>
    <row r="5" spans="1:6" s="372" customFormat="1" ht="14.25" customHeight="1">
      <c r="A5" s="2373"/>
      <c r="B5" s="2373"/>
      <c r="C5" s="2373"/>
      <c r="D5" s="2373"/>
      <c r="E5" s="472"/>
      <c r="F5" s="472"/>
    </row>
    <row r="6" spans="1:4" ht="18">
      <c r="A6" s="532" t="s">
        <v>928</v>
      </c>
      <c r="B6" s="532"/>
      <c r="C6" s="532"/>
      <c r="D6" s="532"/>
    </row>
    <row r="7" ht="12.75"/>
    <row r="8" ht="12.75">
      <c r="A8" s="398" t="s">
        <v>934</v>
      </c>
    </row>
    <row r="9" spans="1:4" ht="13.5" thickBot="1">
      <c r="A9" s="398"/>
      <c r="D9" s="1604" t="str">
        <f>'III.G'!D7</f>
        <v>Adatok E Ft-ban</v>
      </c>
    </row>
    <row r="10" spans="1:4" ht="24" customHeight="1" thickBot="1">
      <c r="A10" s="2391" t="s">
        <v>63</v>
      </c>
      <c r="B10" s="2392"/>
      <c r="C10" s="2393"/>
      <c r="D10" s="1727" t="s">
        <v>930</v>
      </c>
    </row>
    <row r="11" spans="1:4" ht="15" customHeight="1">
      <c r="A11" s="1667"/>
      <c r="B11" s="1668"/>
      <c r="C11" s="1673"/>
      <c r="D11" s="1664"/>
    </row>
    <row r="12" spans="1:4" ht="15" customHeight="1">
      <c r="A12" s="1669"/>
      <c r="B12" s="1670"/>
      <c r="C12" s="1674"/>
      <c r="D12" s="1663"/>
    </row>
    <row r="13" spans="1:4" ht="15" customHeight="1">
      <c r="A13" s="1669"/>
      <c r="B13" s="1670"/>
      <c r="C13" s="1674"/>
      <c r="D13" s="1663"/>
    </row>
    <row r="14" spans="1:4" ht="15" customHeight="1">
      <c r="A14" s="1669"/>
      <c r="B14" s="1670"/>
      <c r="C14" s="1674"/>
      <c r="D14" s="1663"/>
    </row>
    <row r="15" spans="1:4" ht="15" customHeight="1" thickBot="1">
      <c r="A15" s="1671"/>
      <c r="B15" s="1672"/>
      <c r="C15" s="1675"/>
      <c r="D15" s="1665"/>
    </row>
    <row r="16" spans="1:4" ht="15" customHeight="1" thickBot="1">
      <c r="A16" s="2394" t="s">
        <v>602</v>
      </c>
      <c r="B16" s="2395"/>
      <c r="C16" s="2396"/>
      <c r="D16" s="1666">
        <f>SUM(D11:D15)</f>
        <v>0</v>
      </c>
    </row>
    <row r="17" ht="12.75"/>
    <row r="18" ht="12.75"/>
    <row r="19" ht="12.75">
      <c r="A19" s="398" t="s">
        <v>936</v>
      </c>
    </row>
    <row r="20" spans="1:4" ht="13.5" thickBot="1">
      <c r="A20" s="398"/>
      <c r="D20" s="1604" t="str">
        <f>D9</f>
        <v>Adatok E Ft-ban</v>
      </c>
    </row>
    <row r="21" spans="1:8" ht="19.5" customHeight="1">
      <c r="A21" s="2389" t="s">
        <v>935</v>
      </c>
      <c r="B21" s="2387" t="s">
        <v>43</v>
      </c>
      <c r="C21" s="2388"/>
      <c r="D21" s="2385" t="s">
        <v>937</v>
      </c>
      <c r="H21" s="388" t="s">
        <v>1351</v>
      </c>
    </row>
    <row r="22" spans="1:4" ht="19.5" customHeight="1" thickBot="1">
      <c r="A22" s="2390"/>
      <c r="B22" s="1725" t="s">
        <v>603</v>
      </c>
      <c r="C22" s="1726" t="s">
        <v>922</v>
      </c>
      <c r="D22" s="2386"/>
    </row>
    <row r="23" spans="1:4" ht="15" customHeight="1" hidden="1">
      <c r="A23" s="1730"/>
      <c r="B23" s="1728"/>
      <c r="C23" s="1729"/>
      <c r="D23" s="1865">
        <f>C23*0.16</f>
        <v>0</v>
      </c>
    </row>
    <row r="24" spans="1:4" ht="15" customHeight="1">
      <c r="A24" s="1731"/>
      <c r="B24" s="1718"/>
      <c r="C24" s="1713"/>
      <c r="D24" s="1866">
        <f>C24*0.16</f>
        <v>0</v>
      </c>
    </row>
    <row r="25" spans="1:4" ht="15" customHeight="1">
      <c r="A25" s="1731"/>
      <c r="B25" s="1718"/>
      <c r="C25" s="1713"/>
      <c r="D25" s="1866">
        <f>C25*0.16</f>
        <v>0</v>
      </c>
    </row>
    <row r="26" spans="1:4" ht="15" customHeight="1" thickBot="1">
      <c r="A26" s="1732"/>
      <c r="B26" s="1719"/>
      <c r="C26" s="1715"/>
      <c r="D26" s="1867">
        <f>C26*0.16</f>
        <v>0</v>
      </c>
    </row>
    <row r="27" spans="1:4" ht="15" customHeight="1" thickBot="1">
      <c r="A27" s="1733" t="s">
        <v>679</v>
      </c>
      <c r="B27" s="1720">
        <f>SUM(B23:B26)</f>
        <v>0</v>
      </c>
      <c r="C27" s="1716">
        <f>SUM(C23:C26)</f>
        <v>0</v>
      </c>
      <c r="D27" s="1716">
        <f>SUM(D23:D26)</f>
        <v>0</v>
      </c>
    </row>
    <row r="28" spans="1:4" ht="15" customHeight="1" hidden="1">
      <c r="A28" s="1734"/>
      <c r="B28" s="1717"/>
      <c r="C28" s="1714"/>
      <c r="D28" s="1865">
        <f>-C28*0.16</f>
        <v>0</v>
      </c>
    </row>
    <row r="29" spans="1:4" ht="15" customHeight="1">
      <c r="A29" s="1731"/>
      <c r="B29" s="1718"/>
      <c r="C29" s="1713"/>
      <c r="D29" s="1866">
        <f>-C29*0.16</f>
        <v>0</v>
      </c>
    </row>
    <row r="30" spans="1:4" ht="15" customHeight="1">
      <c r="A30" s="1731"/>
      <c r="B30" s="1718"/>
      <c r="C30" s="1713"/>
      <c r="D30" s="1866">
        <f>-C30*0.16</f>
        <v>0</v>
      </c>
    </row>
    <row r="31" spans="1:4" ht="15" customHeight="1" thickBot="1">
      <c r="A31" s="1735"/>
      <c r="B31" s="1723"/>
      <c r="C31" s="1722"/>
      <c r="D31" s="1867">
        <f>-C31*0.16</f>
        <v>0</v>
      </c>
    </row>
    <row r="32" spans="1:4" ht="15" customHeight="1" thickBot="1">
      <c r="A32" s="1733" t="s">
        <v>681</v>
      </c>
      <c r="B32" s="1724">
        <f>SUM(B28:B31)</f>
        <v>0</v>
      </c>
      <c r="C32" s="1721">
        <f>SUM(C28:C31)</f>
        <v>0</v>
      </c>
      <c r="D32" s="1716">
        <f>SUM(D28:D31)</f>
        <v>0</v>
      </c>
    </row>
    <row r="33" spans="1:4" ht="13.5" thickBot="1">
      <c r="A33" s="1733" t="s">
        <v>832</v>
      </c>
      <c r="B33" s="1720">
        <f>SUM(B27,B32)</f>
        <v>0</v>
      </c>
      <c r="C33" s="1720">
        <f>SUM(C27,C32)</f>
        <v>0</v>
      </c>
      <c r="D33" s="1736">
        <f>SUM(D27,D32)</f>
        <v>0</v>
      </c>
    </row>
    <row r="34" ht="12.75">
      <c r="H34" s="688"/>
    </row>
    <row r="35" spans="1:10" s="628" customFormat="1" ht="12.75">
      <c r="A35" s="388"/>
      <c r="B35" s="388"/>
      <c r="C35" s="388"/>
      <c r="D35" s="388"/>
      <c r="E35" s="688"/>
      <c r="F35" s="688"/>
      <c r="G35" s="688"/>
      <c r="H35" s="688"/>
      <c r="I35" s="688"/>
      <c r="J35" s="688"/>
    </row>
    <row r="36" spans="1:10" s="628" customFormat="1" ht="15">
      <c r="A36" s="398" t="s">
        <v>0</v>
      </c>
      <c r="B36" s="388"/>
      <c r="C36" s="388"/>
      <c r="D36" s="388"/>
      <c r="E36" s="688"/>
      <c r="F36" s="687"/>
      <c r="G36" s="688"/>
      <c r="H36" s="688" t="s">
        <v>517</v>
      </c>
      <c r="I36" s="688"/>
      <c r="J36" s="688"/>
    </row>
    <row r="37" spans="1:10" s="628" customFormat="1" ht="13.5" thickBot="1">
      <c r="A37" s="388"/>
      <c r="B37" s="388"/>
      <c r="C37" s="388"/>
      <c r="D37" s="1604" t="str">
        <f>D20</f>
        <v>Adatok E Ft-ban</v>
      </c>
      <c r="E37" s="688"/>
      <c r="F37" s="688"/>
      <c r="G37" s="688"/>
      <c r="H37" s="688"/>
      <c r="I37" s="688"/>
      <c r="J37" s="688"/>
    </row>
    <row r="38" spans="1:10" s="628" customFormat="1" ht="12.75">
      <c r="A38" s="2382" t="s">
        <v>857</v>
      </c>
      <c r="B38" s="2383"/>
      <c r="C38" s="2384"/>
      <c r="D38" s="1737" t="s">
        <v>104</v>
      </c>
      <c r="E38" s="688"/>
      <c r="F38" s="688"/>
      <c r="G38" s="688"/>
      <c r="H38" s="688"/>
      <c r="I38" s="688"/>
      <c r="J38" s="688"/>
    </row>
    <row r="39" spans="1:10" s="628" customFormat="1" ht="12.75">
      <c r="A39" s="1617"/>
      <c r="B39" s="423"/>
      <c r="C39" s="1618"/>
      <c r="D39" s="1738"/>
      <c r="E39" s="688"/>
      <c r="F39" s="688"/>
      <c r="G39" s="688"/>
      <c r="H39" s="688"/>
      <c r="I39" s="688"/>
      <c r="J39" s="688"/>
    </row>
    <row r="40" spans="1:10" s="628" customFormat="1" ht="12.75">
      <c r="A40" s="1617"/>
      <c r="B40" s="423"/>
      <c r="C40" s="1618"/>
      <c r="D40" s="1738"/>
      <c r="E40" s="688"/>
      <c r="F40" s="688"/>
      <c r="G40" s="688"/>
      <c r="H40" s="688"/>
      <c r="I40" s="688"/>
      <c r="J40" s="688"/>
    </row>
    <row r="41" spans="1:10" s="628" customFormat="1" ht="12.75">
      <c r="A41" s="1617"/>
      <c r="B41" s="423"/>
      <c r="C41" s="1618"/>
      <c r="D41" s="1738"/>
      <c r="E41" s="688"/>
      <c r="F41" s="688"/>
      <c r="G41" s="688"/>
      <c r="H41" s="688"/>
      <c r="I41" s="688"/>
      <c r="J41" s="688"/>
    </row>
    <row r="42" spans="1:10" s="628" customFormat="1" ht="12.75">
      <c r="A42" s="1617"/>
      <c r="B42" s="423"/>
      <c r="C42" s="1618"/>
      <c r="D42" s="1738"/>
      <c r="E42" s="688"/>
      <c r="F42" s="688"/>
      <c r="G42" s="688"/>
      <c r="H42" s="688"/>
      <c r="I42" s="688"/>
      <c r="J42" s="688"/>
    </row>
    <row r="43" spans="1:10" s="628" customFormat="1" ht="13.5" thickBot="1">
      <c r="A43" s="1615"/>
      <c r="B43" s="429"/>
      <c r="C43" s="1616"/>
      <c r="D43" s="1739"/>
      <c r="E43" s="688"/>
      <c r="F43" s="688"/>
      <c r="G43" s="688"/>
      <c r="H43" s="688"/>
      <c r="I43" s="688"/>
      <c r="J43" s="688"/>
    </row>
    <row r="44" spans="1:10" s="628" customFormat="1" ht="12.75">
      <c r="A44" s="388"/>
      <c r="B44" s="388"/>
      <c r="C44" s="388"/>
      <c r="D44" s="388"/>
      <c r="E44" s="688"/>
      <c r="F44" s="688"/>
      <c r="G44" s="688"/>
      <c r="H44" s="688"/>
      <c r="I44" s="688"/>
      <c r="J44" s="688"/>
    </row>
    <row r="45" spans="1:10" s="628" customFormat="1" ht="12.75">
      <c r="A45" s="388"/>
      <c r="B45" s="388"/>
      <c r="C45" s="388"/>
      <c r="D45" s="388"/>
      <c r="E45" s="688"/>
      <c r="F45" s="688"/>
      <c r="G45" s="688"/>
      <c r="H45" s="688"/>
      <c r="I45" s="688"/>
      <c r="J45" s="688"/>
    </row>
    <row r="46" spans="1:10" s="628" customFormat="1" ht="15">
      <c r="A46" s="388"/>
      <c r="B46" s="388"/>
      <c r="C46" s="388"/>
      <c r="D46" s="388"/>
      <c r="E46" s="688"/>
      <c r="F46" s="688"/>
      <c r="G46" s="688"/>
      <c r="H46" s="688"/>
      <c r="I46" s="688"/>
      <c r="J46" s="687"/>
    </row>
    <row r="47" spans="1:10" s="628" customFormat="1" ht="15">
      <c r="A47" s="1658"/>
      <c r="B47" s="518"/>
      <c r="C47" s="518"/>
      <c r="D47" s="518"/>
      <c r="E47" s="688"/>
      <c r="F47" s="688"/>
      <c r="G47" s="688"/>
      <c r="H47" s="688"/>
      <c r="I47" s="688"/>
      <c r="J47" s="688"/>
    </row>
    <row r="48" spans="1:10" s="628" customFormat="1" ht="15">
      <c r="A48" s="687"/>
      <c r="B48" s="688"/>
      <c r="C48" s="688"/>
      <c r="D48" s="688"/>
      <c r="E48" s="688"/>
      <c r="F48" s="688"/>
      <c r="G48" s="688"/>
      <c r="H48" s="688"/>
      <c r="I48" s="688"/>
      <c r="J48" s="688"/>
    </row>
    <row r="49" spans="1:10" s="628" customFormat="1" ht="15">
      <c r="A49" s="687"/>
      <c r="B49" s="688"/>
      <c r="C49" s="688"/>
      <c r="D49" s="688"/>
      <c r="E49" s="688"/>
      <c r="F49" s="688"/>
      <c r="G49" s="688"/>
      <c r="H49" s="688"/>
      <c r="I49" s="688"/>
      <c r="J49" s="687"/>
    </row>
    <row r="50" spans="1:10" s="628" customFormat="1" ht="15">
      <c r="A50" s="687"/>
      <c r="B50" s="688"/>
      <c r="C50" s="688"/>
      <c r="D50" s="688"/>
      <c r="E50" s="688"/>
      <c r="F50" s="688"/>
      <c r="G50" s="688"/>
      <c r="H50" s="688"/>
      <c r="I50" s="688"/>
      <c r="J50" s="688"/>
    </row>
    <row r="51" spans="1:10" s="628" customFormat="1" ht="15">
      <c r="A51" s="687"/>
      <c r="B51" s="688"/>
      <c r="C51" s="688"/>
      <c r="D51" s="688"/>
      <c r="E51" s="688"/>
      <c r="F51" s="688"/>
      <c r="G51" s="688"/>
      <c r="H51" s="688"/>
      <c r="I51" s="688"/>
      <c r="J51" s="688"/>
    </row>
    <row r="52" spans="1:10" s="628" customFormat="1" ht="15">
      <c r="A52" s="687"/>
      <c r="B52" s="688"/>
      <c r="C52" s="688"/>
      <c r="D52" s="688"/>
      <c r="E52" s="688"/>
      <c r="F52" s="688"/>
      <c r="G52" s="688"/>
      <c r="H52" s="687"/>
      <c r="I52" s="688"/>
      <c r="J52" s="688"/>
    </row>
    <row r="53" spans="1:10" s="628" customFormat="1" ht="15">
      <c r="A53" s="687"/>
      <c r="B53" s="688"/>
      <c r="C53" s="688"/>
      <c r="D53" s="688"/>
      <c r="E53" s="688"/>
      <c r="F53" s="688"/>
      <c r="G53" s="688"/>
      <c r="H53" s="688"/>
      <c r="I53" s="688"/>
      <c r="J53" s="688"/>
    </row>
    <row r="54" spans="1:10" s="628" customFormat="1" ht="15">
      <c r="A54" s="687"/>
      <c r="B54" s="688"/>
      <c r="C54" s="688"/>
      <c r="D54" s="688"/>
      <c r="E54" s="688"/>
      <c r="F54" s="688"/>
      <c r="G54" s="688"/>
      <c r="H54" s="687"/>
      <c r="I54" s="688"/>
      <c r="J54" s="688"/>
    </row>
    <row r="55" spans="1:10" s="628" customFormat="1" ht="15">
      <c r="A55" s="687"/>
      <c r="B55" s="688"/>
      <c r="C55" s="688"/>
      <c r="D55" s="688"/>
      <c r="E55" s="688"/>
      <c r="F55" s="688"/>
      <c r="G55" s="688"/>
      <c r="H55" s="688"/>
      <c r="I55" s="688"/>
      <c r="J55" s="688"/>
    </row>
    <row r="56" spans="1:10" s="628" customFormat="1" ht="12.75">
      <c r="A56" s="688"/>
      <c r="B56" s="688"/>
      <c r="C56" s="688"/>
      <c r="D56" s="688"/>
      <c r="E56" s="688"/>
      <c r="F56" s="688"/>
      <c r="G56" s="688"/>
      <c r="H56" s="688"/>
      <c r="I56" s="688"/>
      <c r="J56" s="688"/>
    </row>
    <row r="57" spans="1:10" s="628" customFormat="1" ht="15">
      <c r="A57" s="687"/>
      <c r="B57" s="688"/>
      <c r="C57" s="688"/>
      <c r="D57" s="688"/>
      <c r="E57" s="688"/>
      <c r="F57" s="688"/>
      <c r="G57" s="688"/>
      <c r="H57" s="688"/>
      <c r="I57" s="688"/>
      <c r="J57" s="688"/>
    </row>
    <row r="58" spans="1:10" s="628" customFormat="1" ht="15">
      <c r="A58" s="687"/>
      <c r="B58" s="688"/>
      <c r="C58" s="688"/>
      <c r="D58" s="688"/>
      <c r="E58" s="688"/>
      <c r="F58" s="688"/>
      <c r="G58" s="687"/>
      <c r="H58" s="688"/>
      <c r="I58" s="688"/>
      <c r="J58" s="688"/>
    </row>
    <row r="59" spans="1:10" s="628" customFormat="1" ht="15">
      <c r="A59" s="687"/>
      <c r="B59" s="688"/>
      <c r="C59" s="688"/>
      <c r="D59" s="688"/>
      <c r="E59" s="688"/>
      <c r="F59" s="688"/>
      <c r="G59" s="688"/>
      <c r="H59" s="688"/>
      <c r="I59" s="688"/>
      <c r="J59" s="688"/>
    </row>
    <row r="60" spans="1:10" s="628" customFormat="1" ht="15">
      <c r="A60" s="687"/>
      <c r="B60" s="688"/>
      <c r="C60" s="688"/>
      <c r="D60" s="688"/>
      <c r="E60" s="688"/>
      <c r="F60" s="688"/>
      <c r="G60" s="688"/>
      <c r="H60" s="688"/>
      <c r="I60" s="687"/>
      <c r="J60" s="688"/>
    </row>
    <row r="61" spans="1:10" s="628" customFormat="1" ht="15">
      <c r="A61" s="687"/>
      <c r="B61" s="688"/>
      <c r="C61" s="688"/>
      <c r="D61" s="688"/>
      <c r="E61" s="688"/>
      <c r="F61" s="688"/>
      <c r="G61" s="688"/>
      <c r="H61" s="688"/>
      <c r="I61" s="688"/>
      <c r="J61" s="688"/>
    </row>
    <row r="62" spans="1:10" s="628" customFormat="1" ht="15">
      <c r="A62" s="687"/>
      <c r="B62" s="687"/>
      <c r="C62" s="688"/>
      <c r="D62" s="688"/>
      <c r="E62" s="688"/>
      <c r="F62" s="688"/>
      <c r="G62" s="688"/>
      <c r="H62" s="688"/>
      <c r="I62" s="688"/>
      <c r="J62" s="688"/>
    </row>
    <row r="63" spans="1:10" s="628" customFormat="1" ht="15">
      <c r="A63" s="687"/>
      <c r="B63" s="688"/>
      <c r="C63" s="688"/>
      <c r="D63" s="688"/>
      <c r="E63" s="688"/>
      <c r="F63" s="688"/>
      <c r="G63" s="688"/>
      <c r="H63" s="688"/>
      <c r="I63" s="688"/>
      <c r="J63" s="688"/>
    </row>
    <row r="64" spans="1:10" s="628" customFormat="1" ht="15">
      <c r="A64" s="687"/>
      <c r="B64" s="688"/>
      <c r="C64" s="688"/>
      <c r="D64" s="688"/>
      <c r="E64" s="688"/>
      <c r="F64" s="688"/>
      <c r="G64" s="688"/>
      <c r="H64" s="688"/>
      <c r="I64" s="688"/>
      <c r="J64" s="688"/>
    </row>
    <row r="65" spans="1:10" s="628" customFormat="1" ht="12.75">
      <c r="A65" s="688"/>
      <c r="B65" s="688"/>
      <c r="C65" s="688"/>
      <c r="D65" s="688"/>
      <c r="E65" s="688"/>
      <c r="F65" s="688"/>
      <c r="G65" s="688"/>
      <c r="H65" s="688"/>
      <c r="I65" s="688"/>
      <c r="J65" s="688"/>
    </row>
    <row r="66" spans="1:10" s="628" customFormat="1" ht="15">
      <c r="A66" s="687"/>
      <c r="B66" s="688"/>
      <c r="C66" s="688"/>
      <c r="D66" s="688"/>
      <c r="E66" s="688"/>
      <c r="F66" s="688"/>
      <c r="G66" s="688"/>
      <c r="H66" s="688"/>
      <c r="I66" s="688"/>
      <c r="J66" s="688"/>
    </row>
    <row r="67" s="628" customFormat="1" ht="12.75"/>
    <row r="68" s="628" customFormat="1" ht="12.75"/>
    <row r="69" s="628" customFormat="1" ht="12.75"/>
    <row r="70" s="628" customFormat="1" ht="12.75"/>
    <row r="71" s="628" customFormat="1" ht="12.75"/>
    <row r="72" s="628" customFormat="1" ht="12.75"/>
    <row r="73" s="628" customFormat="1" ht="12.75"/>
    <row r="74" s="628" customFormat="1" ht="12.75"/>
    <row r="75" s="628" customFormat="1" ht="12.75"/>
    <row r="76" s="628" customFormat="1" ht="12.75"/>
    <row r="77" s="628" customFormat="1" ht="12.75"/>
    <row r="78" s="628" customFormat="1" ht="12.75"/>
    <row r="79" s="628" customFormat="1" ht="12.75"/>
    <row r="80" s="628" customFormat="1" ht="12.75"/>
    <row r="81" s="628" customFormat="1" ht="12.75"/>
    <row r="82" s="628" customFormat="1" ht="12.75"/>
    <row r="83" s="628" customFormat="1" ht="12.75"/>
    <row r="84" s="628" customFormat="1" ht="12.75"/>
    <row r="85" s="628" customFormat="1" ht="12.75"/>
    <row r="86" s="628" customFormat="1" ht="12.75"/>
    <row r="87" s="628" customFormat="1" ht="12.75"/>
    <row r="88" s="628" customFormat="1" ht="12.75"/>
    <row r="89" s="628" customFormat="1" ht="12.75"/>
    <row r="90" s="628" customFormat="1" ht="12.75"/>
    <row r="91" s="628" customFormat="1" ht="12.75"/>
    <row r="92" s="628" customFormat="1" ht="12.75"/>
    <row r="93" s="628" customFormat="1" ht="12.75"/>
    <row r="94" s="628" customFormat="1" ht="12.75"/>
    <row r="95" s="628" customFormat="1" ht="12.75"/>
    <row r="96" s="628" customFormat="1" ht="12.75"/>
    <row r="97" s="628" customFormat="1" ht="12.75"/>
    <row r="98" s="628" customFormat="1" ht="12.75"/>
    <row r="99" s="628" customFormat="1" ht="12.75"/>
    <row r="100" s="628" customFormat="1" ht="12.75"/>
    <row r="101" s="628" customFormat="1" ht="12.75"/>
    <row r="102" s="628" customFormat="1" ht="12.75"/>
    <row r="103" s="628" customFormat="1" ht="12.75"/>
    <row r="104" s="628" customFormat="1" ht="12.75"/>
    <row r="105" s="628" customFormat="1" ht="12.75"/>
    <row r="106" s="628" customFormat="1" ht="12.75"/>
    <row r="107" s="628" customFormat="1" ht="12.75"/>
    <row r="108" s="628" customFormat="1" ht="12.75"/>
    <row r="109" s="628" customFormat="1" ht="12.75"/>
    <row r="110" s="628" customFormat="1" ht="12.75"/>
    <row r="111" s="628" customFormat="1" ht="12.75"/>
    <row r="112" s="628" customFormat="1" ht="12.75"/>
    <row r="113" s="628" customFormat="1" ht="12.75"/>
    <row r="114" s="628" customFormat="1" ht="12.75"/>
    <row r="115" s="628" customFormat="1" ht="12.75"/>
    <row r="116" s="628" customFormat="1" ht="12.75"/>
    <row r="117" s="628" customFormat="1" ht="12.75"/>
    <row r="118" s="628" customFormat="1" ht="12.75"/>
    <row r="119" s="628" customFormat="1" ht="12.75"/>
    <row r="120" s="628" customFormat="1" ht="12.75"/>
    <row r="121" s="628" customFormat="1" ht="12.75"/>
    <row r="122" s="628" customFormat="1" ht="12.75"/>
    <row r="123" s="628" customFormat="1" ht="12.75"/>
    <row r="124" s="628" customFormat="1" ht="12.75"/>
    <row r="125" spans="1:4" ht="12.75">
      <c r="A125" s="628"/>
      <c r="B125" s="628"/>
      <c r="C125" s="628"/>
      <c r="D125" s="628"/>
    </row>
    <row r="126" spans="1:4" ht="12.75">
      <c r="A126" s="628"/>
      <c r="B126" s="628"/>
      <c r="C126" s="628"/>
      <c r="D126" s="628"/>
    </row>
    <row r="127" spans="1:4" ht="12.75">
      <c r="A127" s="628"/>
      <c r="B127" s="628"/>
      <c r="C127" s="628"/>
      <c r="D127" s="628"/>
    </row>
    <row r="128" spans="1:4" ht="12.75">
      <c r="A128" s="628"/>
      <c r="B128" s="628"/>
      <c r="C128" s="628"/>
      <c r="D128" s="628"/>
    </row>
    <row r="129" spans="1:4" ht="12.75">
      <c r="A129" s="628"/>
      <c r="B129" s="628"/>
      <c r="C129" s="628"/>
      <c r="D129" s="628"/>
    </row>
    <row r="130" spans="1:4" ht="12.75">
      <c r="A130" s="628"/>
      <c r="B130" s="628"/>
      <c r="C130" s="628"/>
      <c r="D130" s="628"/>
    </row>
    <row r="131" spans="1:4" ht="12.75">
      <c r="A131" s="628"/>
      <c r="B131" s="628"/>
      <c r="C131" s="628"/>
      <c r="D131" s="628"/>
    </row>
    <row r="132" spans="1:4" ht="12.75">
      <c r="A132" s="628"/>
      <c r="B132" s="628"/>
      <c r="C132" s="628"/>
      <c r="D132" s="628"/>
    </row>
    <row r="133" spans="1:4" ht="12.75">
      <c r="A133" s="628"/>
      <c r="B133" s="628"/>
      <c r="C133" s="628"/>
      <c r="D133" s="628"/>
    </row>
    <row r="134" spans="1:4" ht="12.75">
      <c r="A134" s="628"/>
      <c r="B134" s="628"/>
      <c r="C134" s="628"/>
      <c r="D134" s="628"/>
    </row>
    <row r="135" spans="1:4" ht="12.75">
      <c r="A135" s="628"/>
      <c r="B135" s="628"/>
      <c r="C135" s="628"/>
      <c r="D135" s="628"/>
    </row>
    <row r="136" spans="1:4" ht="12.75">
      <c r="A136" s="628"/>
      <c r="B136" s="628"/>
      <c r="C136" s="628"/>
      <c r="D136" s="628"/>
    </row>
    <row r="137" spans="1:4" ht="12.75">
      <c r="A137" s="628"/>
      <c r="B137" s="628"/>
      <c r="C137" s="628"/>
      <c r="D137" s="628"/>
    </row>
    <row r="138" spans="1:4" ht="12.75">
      <c r="A138" s="628"/>
      <c r="B138" s="628"/>
      <c r="C138" s="628"/>
      <c r="D138" s="628"/>
    </row>
    <row r="139" spans="1:4" ht="12.75">
      <c r="A139" s="628"/>
      <c r="B139" s="628"/>
      <c r="C139" s="628"/>
      <c r="D139" s="628"/>
    </row>
    <row r="140" spans="1:4" ht="12.75">
      <c r="A140" s="628"/>
      <c r="B140" s="628"/>
      <c r="C140" s="628"/>
      <c r="D140" s="628"/>
    </row>
    <row r="141" spans="1:4" ht="12.75">
      <c r="A141" s="628"/>
      <c r="B141" s="628"/>
      <c r="C141" s="628"/>
      <c r="D141" s="628"/>
    </row>
    <row r="142" spans="1:4" ht="12.75">
      <c r="A142" s="628"/>
      <c r="B142" s="628"/>
      <c r="C142" s="628"/>
      <c r="D142" s="628"/>
    </row>
    <row r="143" spans="1:4" ht="12.75">
      <c r="A143" s="628"/>
      <c r="B143" s="628"/>
      <c r="C143" s="628"/>
      <c r="D143" s="628"/>
    </row>
  </sheetData>
  <mergeCells count="7">
    <mergeCell ref="A38:C38"/>
    <mergeCell ref="A5:D5"/>
    <mergeCell ref="D21:D22"/>
    <mergeCell ref="B21:C21"/>
    <mergeCell ref="A21:A22"/>
    <mergeCell ref="A10:C10"/>
    <mergeCell ref="A16:C16"/>
  </mergeCells>
  <printOptions/>
  <pageMargins left="0.77" right="0.79" top="0.5905511811023623" bottom="0.984251968503937" header="0.3937007874015748" footer="0.5118110236220472"/>
  <pageSetup horizontalDpi="600" verticalDpi="600" orientation="portrait" paperSize="9" r:id="rId4"/>
  <headerFooter alignWithMargins="0">
    <oddFooter>&amp;C&amp;P/&amp;N&amp;R&amp;A</oddFooter>
  </headerFooter>
  <colBreaks count="1" manualBreakCount="1">
    <brk id="4" max="65535" man="1"/>
  </colBreaks>
  <drawing r:id="rId3"/>
  <legacyDrawing r:id="rId2"/>
</worksheet>
</file>

<file path=xl/worksheets/sheet39.xml><?xml version="1.0" encoding="utf-8"?>
<worksheet xmlns="http://schemas.openxmlformats.org/spreadsheetml/2006/main" xmlns:r="http://schemas.openxmlformats.org/officeDocument/2006/relationships">
  <sheetPr codeName="Munka67">
    <tabColor indexed="11"/>
  </sheetPr>
  <dimension ref="A1:J170"/>
  <sheetViews>
    <sheetView workbookViewId="0" topLeftCell="A1">
      <selection activeCell="G23" sqref="G23"/>
    </sheetView>
  </sheetViews>
  <sheetFormatPr defaultColWidth="9.00390625" defaultRowHeight="12.75"/>
  <cols>
    <col min="1" max="1" width="11.00390625" style="388" customWidth="1"/>
    <col min="2" max="2" width="29.375" style="388" customWidth="1"/>
    <col min="3" max="3" width="17.75390625" style="388" customWidth="1"/>
    <col min="4" max="4" width="27.125" style="388" customWidth="1"/>
    <col min="5" max="5" width="9.25390625" style="388" customWidth="1"/>
    <col min="6" max="16384" width="9.125" style="388" customWidth="1"/>
  </cols>
  <sheetData>
    <row r="1" spans="1:4" s="372" customFormat="1" ht="15">
      <c r="A1" s="387" t="str">
        <f>'III.G'!A1</f>
        <v>Komáromi Távhő Kft</v>
      </c>
      <c r="B1" s="470"/>
      <c r="C1" s="470"/>
      <c r="D1" s="389" t="str">
        <f>'III.G'!D1</f>
        <v>Kiegészítő melléklet 2016. december 31.Hőszolgáltatás </v>
      </c>
    </row>
    <row r="2" spans="1:4" s="372" customFormat="1" ht="15">
      <c r="A2" s="387"/>
      <c r="B2" s="470"/>
      <c r="C2" s="470"/>
      <c r="D2" s="389" t="str">
        <f>'III.G'!D2</f>
        <v>II. Tájékoztató kiegészítések</v>
      </c>
    </row>
    <row r="3" spans="1:4" s="372" customFormat="1" ht="15">
      <c r="A3" s="387"/>
      <c r="B3" s="470"/>
      <c r="C3" s="470"/>
      <c r="D3" s="389"/>
    </row>
    <row r="4" spans="1:4" s="372" customFormat="1" ht="15">
      <c r="A4" s="411" t="str">
        <f>'III.G'!A4</f>
        <v>A közzétett adatokat könyvvizsgáló ellenőrizte</v>
      </c>
      <c r="B4" s="1634"/>
      <c r="C4" s="1634"/>
      <c r="D4" s="396"/>
    </row>
    <row r="5" spans="1:6" s="372" customFormat="1" ht="14.25" customHeight="1">
      <c r="A5" s="2373"/>
      <c r="B5" s="2373"/>
      <c r="C5" s="2373"/>
      <c r="D5" s="2373"/>
      <c r="E5" s="472"/>
      <c r="F5" s="472"/>
    </row>
    <row r="6" spans="1:4" ht="18">
      <c r="A6" s="532" t="s">
        <v>928</v>
      </c>
      <c r="B6" s="532"/>
      <c r="C6" s="532"/>
      <c r="D6" s="532"/>
    </row>
    <row r="8" ht="12.75">
      <c r="A8" s="398" t="s">
        <v>358</v>
      </c>
    </row>
    <row r="9" ht="13.5" thickBot="1">
      <c r="D9" s="1604" t="str">
        <f>'III.G'!D7</f>
        <v>Adatok E Ft-ban</v>
      </c>
    </row>
    <row r="10" spans="1:4" ht="40.5" customHeight="1" thickBot="1">
      <c r="A10" s="2397" t="s">
        <v>929</v>
      </c>
      <c r="B10" s="2398"/>
      <c r="C10" s="2399"/>
      <c r="D10" s="1687" t="s">
        <v>930</v>
      </c>
    </row>
    <row r="11" spans="1:4" ht="15" customHeight="1" hidden="1">
      <c r="A11" s="1667"/>
      <c r="B11" s="1668"/>
      <c r="C11" s="1673"/>
      <c r="D11" s="1983"/>
    </row>
    <row r="12" spans="1:4" ht="15" customHeight="1">
      <c r="A12" s="1669"/>
      <c r="B12" s="1670"/>
      <c r="C12" s="1674"/>
      <c r="D12" s="1984"/>
    </row>
    <row r="13" spans="1:4" ht="15" customHeight="1">
      <c r="A13" s="1669"/>
      <c r="B13" s="1670"/>
      <c r="C13" s="1674"/>
      <c r="D13" s="1984"/>
    </row>
    <row r="14" spans="1:4" ht="15" customHeight="1" hidden="1">
      <c r="A14" s="1669"/>
      <c r="B14" s="1670"/>
      <c r="C14" s="1674"/>
      <c r="D14" s="1984"/>
    </row>
    <row r="15" spans="1:4" ht="15" customHeight="1">
      <c r="A15" s="1671"/>
      <c r="B15" s="1672"/>
      <c r="C15" s="1675"/>
      <c r="D15" s="1985"/>
    </row>
    <row r="16" spans="1:4" ht="15" customHeight="1" thickBot="1">
      <c r="A16" s="1671"/>
      <c r="B16" s="1672"/>
      <c r="C16" s="1675"/>
      <c r="D16" s="1985"/>
    </row>
    <row r="17" spans="1:4" ht="15" customHeight="1" thickBot="1">
      <c r="A17" s="2394" t="s">
        <v>1261</v>
      </c>
      <c r="B17" s="2395"/>
      <c r="C17" s="2396"/>
      <c r="D17" s="1666">
        <f>SUM(D11:D16)</f>
        <v>0</v>
      </c>
    </row>
    <row r="18" spans="1:4" ht="12.75">
      <c r="A18" s="1660"/>
      <c r="B18" s="1660"/>
      <c r="C18" s="1660"/>
      <c r="D18" s="1692"/>
    </row>
    <row r="19" spans="1:4" ht="12.75">
      <c r="A19" s="1661"/>
      <c r="B19" s="1661"/>
      <c r="C19" s="1662"/>
      <c r="D19" s="1662"/>
    </row>
    <row r="20" spans="1:4" ht="13.5" customHeight="1" thickBot="1">
      <c r="A20" s="2000" t="s">
        <v>1424</v>
      </c>
      <c r="B20" s="2000"/>
      <c r="C20" s="2000"/>
      <c r="D20" s="2001" t="str">
        <f>D9</f>
        <v>Adatok E Ft-ban</v>
      </c>
    </row>
    <row r="21" spans="1:4" ht="25.5" customHeight="1">
      <c r="A21" s="1688" t="s">
        <v>98</v>
      </c>
      <c r="B21" s="1689"/>
      <c r="C21" s="1690"/>
      <c r="D21" s="1686" t="s">
        <v>930</v>
      </c>
    </row>
    <row r="22" spans="1:4" ht="15" customHeight="1">
      <c r="A22" s="1587" t="s">
        <v>99</v>
      </c>
      <c r="B22" s="1588"/>
      <c r="C22" s="1682"/>
      <c r="D22" s="1986">
        <f>SUM(D23:D25)</f>
        <v>0</v>
      </c>
    </row>
    <row r="23" spans="1:4" ht="15" customHeight="1">
      <c r="A23" s="453"/>
      <c r="B23" s="1681"/>
      <c r="C23" s="424"/>
      <c r="D23" s="1987"/>
    </row>
    <row r="24" spans="1:4" ht="15" customHeight="1">
      <c r="A24" s="453"/>
      <c r="B24" s="1681"/>
      <c r="C24" s="424"/>
      <c r="D24" s="1987"/>
    </row>
    <row r="25" spans="1:4" ht="15" customHeight="1">
      <c r="A25" s="453"/>
      <c r="B25" s="1681"/>
      <c r="C25" s="424"/>
      <c r="D25" s="1987"/>
    </row>
    <row r="26" spans="1:4" ht="15" customHeight="1">
      <c r="A26" s="1587" t="s">
        <v>100</v>
      </c>
      <c r="B26" s="1588"/>
      <c r="C26" s="1682"/>
      <c r="D26" s="1986">
        <f>SUM(D27:D29)</f>
        <v>0</v>
      </c>
    </row>
    <row r="27" spans="1:4" ht="15" customHeight="1">
      <c r="A27" s="453"/>
      <c r="B27" s="1681"/>
      <c r="C27" s="424"/>
      <c r="D27" s="1987"/>
    </row>
    <row r="28" spans="1:4" ht="15" customHeight="1">
      <c r="A28" s="453"/>
      <c r="B28" s="1681"/>
      <c r="C28" s="424"/>
      <c r="D28" s="1987"/>
    </row>
    <row r="29" spans="1:4" ht="15" customHeight="1">
      <c r="A29" s="453"/>
      <c r="B29" s="1681"/>
      <c r="C29" s="424"/>
      <c r="D29" s="1987"/>
    </row>
    <row r="30" spans="1:4" ht="15" customHeight="1" thickBot="1">
      <c r="A30" s="1683" t="s">
        <v>1080</v>
      </c>
      <c r="B30" s="1684"/>
      <c r="C30" s="1685"/>
      <c r="D30" s="1691">
        <f>SUM(D22,D26)</f>
        <v>0</v>
      </c>
    </row>
    <row r="31" spans="1:4" s="1679" customFormat="1" ht="12.75">
      <c r="A31" s="1677"/>
      <c r="B31" s="1677"/>
      <c r="C31" s="1678"/>
      <c r="D31" s="1678"/>
    </row>
    <row r="32" spans="1:4" ht="13.5" thickBot="1">
      <c r="A32" s="1676" t="s">
        <v>442</v>
      </c>
      <c r="B32" s="1676"/>
      <c r="C32" s="1676"/>
      <c r="D32" s="2002" t="str">
        <f>D20</f>
        <v>Adatok E Ft-ban</v>
      </c>
    </row>
    <row r="33" spans="1:4" ht="25.5" customHeight="1">
      <c r="A33" s="1688" t="s">
        <v>98</v>
      </c>
      <c r="B33" s="1689"/>
      <c r="C33" s="1690"/>
      <c r="D33" s="1686"/>
    </row>
    <row r="34" spans="1:4" ht="15" customHeight="1">
      <c r="A34" s="1587" t="s">
        <v>99</v>
      </c>
      <c r="B34" s="1588"/>
      <c r="C34" s="1682"/>
      <c r="D34" s="1986">
        <f>SUM(D35:D37)</f>
        <v>0</v>
      </c>
    </row>
    <row r="35" spans="1:4" ht="15" customHeight="1">
      <c r="A35" s="453"/>
      <c r="B35" s="1681"/>
      <c r="C35" s="424"/>
      <c r="D35" s="1987"/>
    </row>
    <row r="36" spans="1:4" ht="15" customHeight="1">
      <c r="A36" s="453"/>
      <c r="B36" s="1681"/>
      <c r="C36" s="424"/>
      <c r="D36" s="1987"/>
    </row>
    <row r="37" spans="1:4" ht="15" customHeight="1">
      <c r="A37" s="453"/>
      <c r="B37" s="1681"/>
      <c r="C37" s="424"/>
      <c r="D37" s="1987"/>
    </row>
    <row r="38" spans="1:4" ht="15" customHeight="1">
      <c r="A38" s="1587" t="s">
        <v>100</v>
      </c>
      <c r="B38" s="1588"/>
      <c r="C38" s="1682"/>
      <c r="D38" s="1986">
        <f>SUM(D39:D41)</f>
        <v>0</v>
      </c>
    </row>
    <row r="39" spans="1:4" ht="15" customHeight="1">
      <c r="A39" s="453"/>
      <c r="B39" s="1681"/>
      <c r="C39" s="424"/>
      <c r="D39" s="1987"/>
    </row>
    <row r="40" spans="1:4" ht="15" customHeight="1">
      <c r="A40" s="453"/>
      <c r="B40" s="1681"/>
      <c r="C40" s="424"/>
      <c r="D40" s="1987"/>
    </row>
    <row r="41" spans="1:4" ht="15" customHeight="1">
      <c r="A41" s="453"/>
      <c r="B41" s="1681"/>
      <c r="C41" s="424"/>
      <c r="D41" s="1987"/>
    </row>
    <row r="42" spans="1:4" ht="15" customHeight="1" thickBot="1">
      <c r="A42" s="1683" t="s">
        <v>1080</v>
      </c>
      <c r="B42" s="1684"/>
      <c r="C42" s="1685"/>
      <c r="D42" s="1691">
        <f>SUM(D34,D38)</f>
        <v>0</v>
      </c>
    </row>
    <row r="43" spans="1:4" s="1679" customFormat="1" ht="12.75">
      <c r="A43" s="1677"/>
      <c r="B43" s="1677"/>
      <c r="C43" s="1678"/>
      <c r="D43" s="1678"/>
    </row>
    <row r="44" spans="1:4" ht="13.5" thickBot="1">
      <c r="A44" s="1676" t="s">
        <v>1285</v>
      </c>
      <c r="B44" s="1676"/>
      <c r="C44" s="1676"/>
      <c r="D44" s="2002" t="str">
        <f>D32</f>
        <v>Adatok E Ft-ban</v>
      </c>
    </row>
    <row r="45" spans="1:4" ht="25.5" customHeight="1">
      <c r="A45" s="1688" t="s">
        <v>98</v>
      </c>
      <c r="B45" s="1689"/>
      <c r="C45" s="1690"/>
      <c r="D45" s="1686" t="s">
        <v>930</v>
      </c>
    </row>
    <row r="46" spans="1:4" ht="15" customHeight="1">
      <c r="A46" s="1587" t="s">
        <v>99</v>
      </c>
      <c r="B46" s="1588"/>
      <c r="C46" s="1682"/>
      <c r="D46" s="1986">
        <f>SUM(D47:D49)</f>
        <v>0</v>
      </c>
    </row>
    <row r="47" spans="1:4" ht="15" customHeight="1">
      <c r="A47" s="453"/>
      <c r="B47" s="1681"/>
      <c r="C47" s="424"/>
      <c r="D47" s="1987"/>
    </row>
    <row r="48" spans="1:4" ht="15" customHeight="1">
      <c r="A48" s="453"/>
      <c r="B48" s="1681"/>
      <c r="C48" s="424"/>
      <c r="D48" s="1987"/>
    </row>
    <row r="49" spans="1:4" ht="15" customHeight="1">
      <c r="A49" s="453"/>
      <c r="B49" s="1681"/>
      <c r="C49" s="424"/>
      <c r="D49" s="1987"/>
    </row>
    <row r="50" spans="1:4" ht="15" customHeight="1">
      <c r="A50" s="1587" t="s">
        <v>100</v>
      </c>
      <c r="B50" s="1588"/>
      <c r="C50" s="1682"/>
      <c r="D50" s="1986">
        <f>SUM(D51:D53)</f>
        <v>0</v>
      </c>
    </row>
    <row r="51" spans="1:4" ht="15" customHeight="1">
      <c r="A51" s="453"/>
      <c r="B51" s="1681"/>
      <c r="C51" s="424"/>
      <c r="D51" s="1987"/>
    </row>
    <row r="52" spans="1:4" ht="15" customHeight="1">
      <c r="A52" s="453"/>
      <c r="B52" s="1681"/>
      <c r="C52" s="424"/>
      <c r="D52" s="1987"/>
    </row>
    <row r="53" spans="1:4" ht="15" customHeight="1">
      <c r="A53" s="453"/>
      <c r="B53" s="1681"/>
      <c r="C53" s="424"/>
      <c r="D53" s="1987"/>
    </row>
    <row r="54" spans="1:4" ht="15" customHeight="1" thickBot="1">
      <c r="A54" s="1683" t="s">
        <v>931</v>
      </c>
      <c r="B54" s="1684"/>
      <c r="C54" s="1685"/>
      <c r="D54" s="1691">
        <f>SUM(D46,D50)</f>
        <v>0</v>
      </c>
    </row>
    <row r="55" spans="1:4" s="1679" customFormat="1" ht="12.75">
      <c r="A55" s="1677"/>
      <c r="B55" s="1677"/>
      <c r="C55" s="1678"/>
      <c r="D55" s="1678"/>
    </row>
    <row r="56" spans="1:4" ht="13.5" thickBot="1">
      <c r="A56" s="1676" t="s">
        <v>440</v>
      </c>
      <c r="B56" s="1676"/>
      <c r="C56" s="1676"/>
      <c r="D56" s="2002" t="str">
        <f>D44</f>
        <v>Adatok E Ft-ban</v>
      </c>
    </row>
    <row r="57" spans="1:4" ht="25.5" customHeight="1">
      <c r="A57" s="1688" t="s">
        <v>98</v>
      </c>
      <c r="B57" s="1689"/>
      <c r="C57" s="1690"/>
      <c r="D57" s="1686" t="s">
        <v>930</v>
      </c>
    </row>
    <row r="58" spans="1:4" ht="15" customHeight="1">
      <c r="A58" s="1587" t="s">
        <v>99</v>
      </c>
      <c r="B58" s="1588"/>
      <c r="C58" s="1682"/>
      <c r="D58" s="1986">
        <f>SUM(D59:D61)</f>
        <v>0</v>
      </c>
    </row>
    <row r="59" spans="1:4" ht="15" customHeight="1">
      <c r="A59" s="453"/>
      <c r="B59" s="1681"/>
      <c r="C59" s="424"/>
      <c r="D59" s="1987"/>
    </row>
    <row r="60" spans="1:4" ht="15" customHeight="1">
      <c r="A60" s="453"/>
      <c r="B60" s="1681"/>
      <c r="C60" s="424"/>
      <c r="D60" s="1987"/>
    </row>
    <row r="61" spans="1:4" ht="15" customHeight="1">
      <c r="A61" s="453"/>
      <c r="B61" s="1681"/>
      <c r="C61" s="424"/>
      <c r="D61" s="1987"/>
    </row>
    <row r="62" spans="1:4" ht="15" customHeight="1">
      <c r="A62" s="1587" t="s">
        <v>100</v>
      </c>
      <c r="B62" s="1588"/>
      <c r="C62" s="1682"/>
      <c r="D62" s="1986">
        <f>SUM(D63:D65)</f>
        <v>0</v>
      </c>
    </row>
    <row r="63" spans="1:4" ht="15" customHeight="1">
      <c r="A63" s="453"/>
      <c r="B63" s="1681"/>
      <c r="C63" s="424"/>
      <c r="D63" s="1987"/>
    </row>
    <row r="64" spans="1:4" ht="15" customHeight="1">
      <c r="A64" s="453"/>
      <c r="B64" s="1681"/>
      <c r="C64" s="424"/>
      <c r="D64" s="1987"/>
    </row>
    <row r="65" spans="1:4" ht="15" customHeight="1">
      <c r="A65" s="453"/>
      <c r="B65" s="1681"/>
      <c r="C65" s="424"/>
      <c r="D65" s="1987"/>
    </row>
    <row r="66" spans="1:4" ht="15" customHeight="1" thickBot="1">
      <c r="A66" s="1683" t="s">
        <v>931</v>
      </c>
      <c r="B66" s="1684"/>
      <c r="C66" s="1685"/>
      <c r="D66" s="1691">
        <f>SUM(D58,D62)</f>
        <v>0</v>
      </c>
    </row>
    <row r="67" spans="1:10" s="628" customFormat="1" ht="15">
      <c r="A67" s="687"/>
      <c r="B67" s="688"/>
      <c r="C67" s="688"/>
      <c r="D67" s="688"/>
      <c r="E67" s="688"/>
      <c r="F67" s="688"/>
      <c r="G67" s="688"/>
      <c r="H67" s="688"/>
      <c r="I67" s="688"/>
      <c r="J67" s="688"/>
    </row>
    <row r="68" spans="1:10" s="628" customFormat="1" ht="15">
      <c r="A68" s="687"/>
      <c r="B68" s="688"/>
      <c r="C68" s="688"/>
      <c r="D68" s="688"/>
      <c r="E68" s="688"/>
      <c r="F68" s="688"/>
      <c r="G68" s="688"/>
      <c r="H68" s="688"/>
      <c r="I68" s="688"/>
      <c r="J68" s="688"/>
    </row>
    <row r="69" spans="1:10" s="628" customFormat="1" ht="15">
      <c r="A69" s="687"/>
      <c r="B69" s="688"/>
      <c r="C69" s="688"/>
      <c r="D69" s="688"/>
      <c r="E69" s="688"/>
      <c r="F69" s="688"/>
      <c r="G69" s="688"/>
      <c r="H69" s="688"/>
      <c r="I69" s="688"/>
      <c r="J69" s="687"/>
    </row>
    <row r="70" spans="1:10" s="628" customFormat="1" ht="15">
      <c r="A70" s="687"/>
      <c r="B70" s="687"/>
      <c r="C70" s="688"/>
      <c r="D70" s="688"/>
      <c r="E70" s="688"/>
      <c r="F70" s="688"/>
      <c r="G70" s="688"/>
      <c r="H70" s="688"/>
      <c r="I70" s="688"/>
      <c r="J70" s="688"/>
    </row>
    <row r="71" spans="1:10" s="628" customFormat="1" ht="15">
      <c r="A71" s="687"/>
      <c r="B71" s="688"/>
      <c r="C71" s="688"/>
      <c r="D71" s="688"/>
      <c r="E71" s="688"/>
      <c r="F71" s="688"/>
      <c r="G71" s="688"/>
      <c r="H71" s="688"/>
      <c r="I71" s="688"/>
      <c r="J71" s="688"/>
    </row>
    <row r="72" spans="1:10" s="628" customFormat="1" ht="15">
      <c r="A72" s="687"/>
      <c r="B72" s="688"/>
      <c r="C72" s="688"/>
      <c r="D72" s="688"/>
      <c r="E72" s="688"/>
      <c r="F72" s="688"/>
      <c r="G72" s="688"/>
      <c r="H72" s="687"/>
      <c r="I72" s="688"/>
      <c r="J72" s="688"/>
    </row>
    <row r="73" spans="1:10" s="628" customFormat="1" ht="12.75">
      <c r="A73" s="688"/>
      <c r="B73" s="688"/>
      <c r="C73" s="688"/>
      <c r="D73" s="688"/>
      <c r="E73" s="688"/>
      <c r="F73" s="688"/>
      <c r="G73" s="688"/>
      <c r="H73" s="688"/>
      <c r="I73" s="688"/>
      <c r="J73" s="688"/>
    </row>
    <row r="74" spans="1:10" s="628" customFormat="1" ht="15">
      <c r="A74" s="687"/>
      <c r="B74" s="688"/>
      <c r="C74" s="688"/>
      <c r="D74" s="688"/>
      <c r="E74" s="688"/>
      <c r="F74" s="688"/>
      <c r="G74" s="688"/>
      <c r="H74" s="687"/>
      <c r="I74" s="688"/>
      <c r="J74" s="688"/>
    </row>
    <row r="75" spans="1:10" s="628" customFormat="1" ht="15">
      <c r="A75" s="687"/>
      <c r="B75" s="688"/>
      <c r="C75" s="688"/>
      <c r="D75" s="688"/>
      <c r="E75" s="688"/>
      <c r="F75" s="688"/>
      <c r="G75" s="688"/>
      <c r="H75" s="688"/>
      <c r="I75" s="688"/>
      <c r="J75" s="688"/>
    </row>
    <row r="76" spans="1:10" s="628" customFormat="1" ht="15">
      <c r="A76" s="687"/>
      <c r="B76" s="688"/>
      <c r="C76" s="687"/>
      <c r="D76" s="688"/>
      <c r="E76" s="688"/>
      <c r="F76" s="688"/>
      <c r="G76" s="688"/>
      <c r="H76" s="688"/>
      <c r="I76" s="688"/>
      <c r="J76" s="688"/>
    </row>
    <row r="77" spans="1:10" s="628" customFormat="1" ht="15">
      <c r="A77" s="687"/>
      <c r="B77" s="688"/>
      <c r="C77" s="688"/>
      <c r="D77" s="688"/>
      <c r="E77" s="688"/>
      <c r="F77" s="688"/>
      <c r="G77" s="688"/>
      <c r="H77" s="688"/>
      <c r="I77" s="688"/>
      <c r="J77" s="688"/>
    </row>
    <row r="78" spans="1:10" s="628" customFormat="1" ht="15">
      <c r="A78" s="687"/>
      <c r="B78" s="688"/>
      <c r="C78" s="688"/>
      <c r="D78" s="688"/>
      <c r="E78" s="688"/>
      <c r="F78" s="688"/>
      <c r="G78" s="687"/>
      <c r="H78" s="688"/>
      <c r="I78" s="688"/>
      <c r="J78" s="688"/>
    </row>
    <row r="79" spans="1:10" s="628" customFormat="1" ht="15">
      <c r="A79" s="687"/>
      <c r="B79" s="688"/>
      <c r="C79" s="688"/>
      <c r="D79" s="688"/>
      <c r="E79" s="688"/>
      <c r="F79" s="688"/>
      <c r="G79" s="688"/>
      <c r="H79" s="688"/>
      <c r="I79" s="688"/>
      <c r="J79" s="688"/>
    </row>
    <row r="80" spans="1:10" s="628" customFormat="1" ht="15">
      <c r="A80" s="687"/>
      <c r="B80" s="688"/>
      <c r="C80" s="688"/>
      <c r="D80" s="688"/>
      <c r="E80" s="688"/>
      <c r="F80" s="688"/>
      <c r="G80" s="688"/>
      <c r="H80" s="688"/>
      <c r="I80" s="687"/>
      <c r="J80" s="688"/>
    </row>
    <row r="81" spans="1:10" s="628" customFormat="1" ht="15">
      <c r="A81" s="687"/>
      <c r="B81" s="688"/>
      <c r="C81" s="688"/>
      <c r="D81" s="688"/>
      <c r="E81" s="688"/>
      <c r="F81" s="688"/>
      <c r="G81" s="688"/>
      <c r="H81" s="688"/>
      <c r="I81" s="688"/>
      <c r="J81" s="688"/>
    </row>
    <row r="82" spans="1:10" s="628" customFormat="1" ht="15">
      <c r="A82" s="687"/>
      <c r="B82" s="688"/>
      <c r="C82" s="688"/>
      <c r="D82" s="688"/>
      <c r="E82" s="688"/>
      <c r="F82" s="688"/>
      <c r="G82" s="688"/>
      <c r="H82" s="688"/>
      <c r="I82" s="688"/>
      <c r="J82" s="688"/>
    </row>
    <row r="83" spans="1:10" s="628" customFormat="1" ht="15">
      <c r="A83" s="687"/>
      <c r="B83" s="688"/>
      <c r="C83" s="688"/>
      <c r="D83" s="688"/>
      <c r="E83" s="688"/>
      <c r="F83" s="688"/>
      <c r="G83" s="688"/>
      <c r="H83" s="688"/>
      <c r="I83" s="688"/>
      <c r="J83" s="688"/>
    </row>
    <row r="84" spans="1:10" s="628" customFormat="1" ht="15">
      <c r="A84" s="687"/>
      <c r="B84" s="688"/>
      <c r="C84" s="688"/>
      <c r="D84" s="688"/>
      <c r="E84" s="688"/>
      <c r="F84" s="688"/>
      <c r="G84" s="688"/>
      <c r="H84" s="688"/>
      <c r="I84" s="688"/>
      <c r="J84" s="688"/>
    </row>
    <row r="85" spans="1:10" s="628" customFormat="1" ht="15">
      <c r="A85" s="687"/>
      <c r="B85" s="688"/>
      <c r="C85" s="688"/>
      <c r="D85" s="688"/>
      <c r="E85" s="688"/>
      <c r="F85" s="688"/>
      <c r="G85" s="688"/>
      <c r="H85" s="688"/>
      <c r="I85" s="688"/>
      <c r="J85" s="688"/>
    </row>
    <row r="86" spans="1:10" s="628" customFormat="1" ht="15">
      <c r="A86" s="687"/>
      <c r="B86" s="688"/>
      <c r="C86" s="688"/>
      <c r="D86" s="688"/>
      <c r="E86" s="688"/>
      <c r="F86" s="688"/>
      <c r="G86" s="688"/>
      <c r="H86" s="688"/>
      <c r="I86" s="688"/>
      <c r="J86" s="688"/>
    </row>
    <row r="87" spans="1:4" s="628" customFormat="1" ht="15">
      <c r="A87" s="687"/>
      <c r="B87" s="688"/>
      <c r="C87" s="688"/>
      <c r="D87" s="688"/>
    </row>
    <row r="88" spans="1:4" s="628" customFormat="1" ht="14.25">
      <c r="A88" s="1659" t="s">
        <v>495</v>
      </c>
      <c r="B88" s="688"/>
      <c r="C88" s="688"/>
      <c r="D88" s="688"/>
    </row>
    <row r="89" s="628" customFormat="1" ht="12.75"/>
    <row r="90" s="628" customFormat="1" ht="12.75"/>
    <row r="91" s="628" customFormat="1" ht="12.75"/>
    <row r="92" s="628" customFormat="1" ht="12.75"/>
    <row r="93" s="628" customFormat="1" ht="12.75"/>
    <row r="94" s="628" customFormat="1" ht="12.75"/>
    <row r="95" s="628" customFormat="1" ht="12.75"/>
    <row r="96" s="628" customFormat="1" ht="12.75"/>
    <row r="97" s="628" customFormat="1" ht="12.75"/>
    <row r="98" s="628" customFormat="1" ht="12.75"/>
    <row r="99" s="628" customFormat="1" ht="12.75"/>
    <row r="100" s="628" customFormat="1" ht="12.75"/>
    <row r="101" s="628" customFormat="1" ht="12.75"/>
    <row r="102" s="628" customFormat="1" ht="12.75"/>
    <row r="103" s="628" customFormat="1" ht="12.75"/>
    <row r="104" s="628" customFormat="1" ht="12.75"/>
    <row r="105" s="628" customFormat="1" ht="12.75"/>
    <row r="106" s="628" customFormat="1" ht="12.75"/>
    <row r="107" s="628" customFormat="1" ht="12.75"/>
    <row r="108" s="628" customFormat="1" ht="12.75"/>
    <row r="109" s="628" customFormat="1" ht="12.75"/>
    <row r="110" s="628" customFormat="1" ht="12.75"/>
    <row r="111" s="628" customFormat="1" ht="12.75"/>
    <row r="112" s="628" customFormat="1" ht="12.75"/>
    <row r="113" s="628" customFormat="1" ht="12.75"/>
    <row r="114" s="628" customFormat="1" ht="12.75"/>
    <row r="115" s="628" customFormat="1" ht="12.75"/>
    <row r="116" s="628" customFormat="1" ht="12.75"/>
    <row r="117" s="628" customFormat="1" ht="12.75"/>
    <row r="118" s="628" customFormat="1" ht="12.75"/>
    <row r="119" s="628" customFormat="1" ht="12.75"/>
    <row r="120" s="628" customFormat="1" ht="12.75"/>
    <row r="121" s="628" customFormat="1" ht="12.75"/>
    <row r="122" s="628" customFormat="1" ht="12.75"/>
    <row r="123" s="628" customFormat="1" ht="12.75"/>
    <row r="124" s="628" customFormat="1" ht="12.75"/>
    <row r="125" s="628" customFormat="1" ht="12.75"/>
    <row r="126" s="628" customFormat="1" ht="12.75"/>
    <row r="127" s="628" customFormat="1" ht="12.75"/>
    <row r="128" s="628" customFormat="1" ht="12.75"/>
    <row r="129" s="628" customFormat="1" ht="12.75"/>
    <row r="130" s="628" customFormat="1" ht="12.75"/>
    <row r="131" s="628" customFormat="1" ht="12.75"/>
    <row r="132" s="628" customFormat="1" ht="12.75"/>
    <row r="133" s="628" customFormat="1" ht="12.75"/>
    <row r="134" s="628" customFormat="1" ht="12.75"/>
    <row r="135" s="628" customFormat="1" ht="12.75"/>
    <row r="136" s="628" customFormat="1" ht="12.75"/>
    <row r="137" s="628" customFormat="1" ht="12.75"/>
    <row r="138" s="628" customFormat="1" ht="12.75"/>
    <row r="139" s="628" customFormat="1" ht="12.75"/>
    <row r="140" s="628" customFormat="1" ht="12.75"/>
    <row r="141" s="628" customFormat="1" ht="12.75"/>
    <row r="142" s="628" customFormat="1" ht="12.75"/>
    <row r="143" s="628" customFormat="1" ht="12.75"/>
    <row r="144" s="628" customFormat="1" ht="12.75"/>
    <row r="145" s="628" customFormat="1" ht="12.75"/>
    <row r="146" s="628" customFormat="1" ht="12.75"/>
    <row r="147" s="628" customFormat="1" ht="12.75"/>
    <row r="148" s="628" customFormat="1" ht="12.75"/>
    <row r="149" s="628" customFormat="1" ht="12.75"/>
    <row r="150" s="628" customFormat="1" ht="12.75"/>
    <row r="151" s="628" customFormat="1" ht="12.75"/>
    <row r="152" s="628" customFormat="1" ht="12.75"/>
    <row r="153" s="628" customFormat="1" ht="12.75"/>
    <row r="154" s="628" customFormat="1" ht="12.75"/>
    <row r="155" s="628" customFormat="1" ht="12.75"/>
    <row r="156" s="628" customFormat="1" ht="12.75"/>
    <row r="157" s="628" customFormat="1" ht="12.75"/>
    <row r="158" s="628" customFormat="1" ht="12.75"/>
    <row r="159" s="628" customFormat="1" ht="12.75"/>
    <row r="160" s="628" customFormat="1" ht="12.75"/>
    <row r="161" s="628" customFormat="1" ht="12.75"/>
    <row r="162" s="628" customFormat="1" ht="12.75"/>
    <row r="163" s="628" customFormat="1" ht="12.75"/>
    <row r="164" spans="1:4" ht="12.75">
      <c r="A164" s="628"/>
      <c r="B164" s="628"/>
      <c r="C164" s="628"/>
      <c r="D164" s="628"/>
    </row>
    <row r="165" spans="1:4" ht="12.75">
      <c r="A165" s="628"/>
      <c r="B165" s="628"/>
      <c r="C165" s="628"/>
      <c r="D165" s="628"/>
    </row>
    <row r="166" spans="1:4" ht="12.75">
      <c r="A166" s="628"/>
      <c r="B166" s="628"/>
      <c r="C166" s="628"/>
      <c r="D166" s="628"/>
    </row>
    <row r="167" spans="1:4" ht="12.75">
      <c r="A167" s="628"/>
      <c r="B167" s="628"/>
      <c r="C167" s="628"/>
      <c r="D167" s="628"/>
    </row>
    <row r="168" spans="1:4" ht="12.75">
      <c r="A168" s="628"/>
      <c r="B168" s="628"/>
      <c r="C168" s="628"/>
      <c r="D168" s="628"/>
    </row>
    <row r="169" spans="1:4" ht="12.75">
      <c r="A169" s="628"/>
      <c r="B169" s="628"/>
      <c r="C169" s="628"/>
      <c r="D169" s="628"/>
    </row>
    <row r="170" spans="1:4" ht="12.75">
      <c r="A170" s="628"/>
      <c r="B170" s="628"/>
      <c r="C170" s="628"/>
      <c r="D170" s="628"/>
    </row>
  </sheetData>
  <mergeCells count="3">
    <mergeCell ref="A5:D5"/>
    <mergeCell ref="A10:C10"/>
    <mergeCell ref="A17:C17"/>
  </mergeCells>
  <printOptions horizontalCentered="1"/>
  <pageMargins left="0.7874015748031497" right="0.7874015748031497" top="0.5905511811023623" bottom="0.984251968503937" header="0.3937007874015748" footer="0.5118110236220472"/>
  <pageSetup horizontalDpi="600" verticalDpi="600" orientation="portrait" paperSize="9" r:id="rId2"/>
  <headerFooter alignWithMargins="0">
    <oddFooter>&amp;C&amp;P/&amp;N&amp;R&amp;A</oddFooter>
  </headerFooter>
  <colBreaks count="1" manualBreakCount="1">
    <brk id="4" max="65535" man="1"/>
  </colBreaks>
  <drawing r:id="rId1"/>
</worksheet>
</file>

<file path=xl/worksheets/sheet4.xml><?xml version="1.0" encoding="utf-8"?>
<worksheet xmlns="http://schemas.openxmlformats.org/spreadsheetml/2006/main" xmlns:r="http://schemas.openxmlformats.org/officeDocument/2006/relationships">
  <sheetPr codeName="Munka5"/>
  <dimension ref="A1:E173"/>
  <sheetViews>
    <sheetView showZeros="0" workbookViewId="0" topLeftCell="A1">
      <selection activeCell="E165" sqref="E165"/>
    </sheetView>
  </sheetViews>
  <sheetFormatPr defaultColWidth="9.00390625" defaultRowHeight="12.75"/>
  <cols>
    <col min="1" max="1" width="6.125" style="4" customWidth="1"/>
    <col min="2" max="2" width="55.25390625" style="4" customWidth="1"/>
    <col min="3" max="3" width="10.75390625" style="4" customWidth="1"/>
    <col min="4" max="4" width="11.625" style="4" customWidth="1"/>
    <col min="5" max="5" width="10.75390625" style="4" customWidth="1"/>
    <col min="6" max="16384" width="9.125" style="4" customWidth="1"/>
  </cols>
  <sheetData>
    <row r="1" spans="1:2" s="97" customFormat="1" ht="15" customHeight="1" thickBot="1">
      <c r="A1" s="95" t="str">
        <f>IF(Általános!$B$19=Általános!$F$8,GLOBAL!B7,IF(Általános!$B$19=Általános!$F$9,GLOBAL!C7,IF(Általános!$B$19=Általános!$F$10,GLOBAL!D7)))&amp;": "&amp;Általános!$B$8</f>
        <v>Statitsztikai számjel: 11183855353011311</v>
      </c>
      <c r="B1" s="96"/>
    </row>
    <row r="2" spans="1:5" s="97" customFormat="1" ht="15" customHeight="1" thickBot="1">
      <c r="A2" s="99" t="str">
        <f>IF(Általános!$B$19=Általános!$F$8,GLOBAL!B8,IF(Általános!$B$19=Általános!$F$9,GLOBAL!C8,IF(Általános!$B$19=Általános!$F$10,GLOBAL!D8)))&amp;": "&amp;Általános!$B$10</f>
        <v>Cégjegyzék szám: 11-09-002700</v>
      </c>
      <c r="B2" s="7"/>
      <c r="E2" s="100">
        <v>11</v>
      </c>
    </row>
    <row r="3" spans="1:5" s="97" customFormat="1" ht="15" customHeight="1">
      <c r="A3" s="95" t="str">
        <f>IF(Általános!$B$19=Általános!$F$8,GLOBAL!B10,IF(Általános!$B$19=Általános!$F$9,GLOBAL!C10,IF(Általános!$B$19=Általános!$F$10,GLOBAL!D10)))</f>
        <v>A vállalkozás megnevezése</v>
      </c>
      <c r="B3" s="96"/>
      <c r="E3" s="101"/>
    </row>
    <row r="4" spans="2:5" s="97" customFormat="1" ht="15.75" customHeight="1">
      <c r="B4" s="262" t="str">
        <f>IF(Általános!$B$19=Általános!$F$8,Általános!B5,Általános!C5)</f>
        <v>Komáromi Távhő Kft</v>
      </c>
      <c r="E4" s="101"/>
    </row>
    <row r="5" spans="1:5" s="1" customFormat="1" ht="18" customHeight="1">
      <c r="A5" s="102" t="str">
        <f>IF(Általános!$B$19=Általános!$F$8,GLOBAL!B20,IF(Általános!$B$19=Általános!$F$9,GLOBAL!C20,IF(Általános!$B$19=Általános!$F$10,GLOBAL!D20)))</f>
        <v>MÉRLEG "A" változat</v>
      </c>
      <c r="B5" s="103"/>
      <c r="C5" s="42"/>
      <c r="D5" s="42"/>
      <c r="E5" s="104"/>
    </row>
    <row r="6" spans="1:5" s="1" customFormat="1" ht="18" customHeight="1">
      <c r="A6" s="102" t="str">
        <f>IF(Általános!$B$19=Általános!$F$8,GLOBAL!B21,IF(Általános!$B$19=Általános!$F$9,GLOBAL!C21,IF(Általános!$B$19=Általános!$F$10,GLOBAL!D21)))</f>
        <v>Eszközök (aktívák)</v>
      </c>
      <c r="B6" s="103"/>
      <c r="C6" s="42"/>
      <c r="D6" s="42"/>
      <c r="E6" s="104"/>
    </row>
    <row r="7" spans="1:5" s="1" customFormat="1" ht="16.5" customHeight="1">
      <c r="A7" s="42" t="str">
        <f>IF(Általános!$B$19=Általános!$F$8,GLOBAL!B23&amp;Általános!$B$12,IF(Általános!$B$19=Általános!$F$9,GLOBAL!C23&amp;Általános!$C$12,IF(Általános!$B$19=Általános!$F$10,GLOBAL!D23&amp;Általános!$C$12)))</f>
        <v>Az üzleti év mérlegfordulónapja: 2016.december 31. Hőszolg.</v>
      </c>
      <c r="B7" s="103"/>
      <c r="C7" s="42"/>
      <c r="D7" s="42"/>
      <c r="E7" s="104"/>
    </row>
    <row r="8" spans="1:5" s="1" customFormat="1" ht="15.75" customHeight="1">
      <c r="A8" s="124" t="str">
        <f>'Beszámoló Fedlap'!A32</f>
        <v>A közzétett adatokat könyvvizsgáló ellenőrizte</v>
      </c>
      <c r="B8" s="103"/>
      <c r="C8" s="42"/>
      <c r="D8" s="42"/>
      <c r="E8" s="104"/>
    </row>
    <row r="9" spans="1:5" ht="11.25" customHeight="1" thickBot="1">
      <c r="A9" s="1"/>
      <c r="C9" s="1"/>
      <c r="D9" s="1"/>
      <c r="E9" s="5" t="str">
        <f>IF(Általános!$B$19=Általános!$F$8,GLOBAL!B24,IF(Általános!$B$19=Általános!$F$9,GLOBAL!C24,IF(Általános!$B$19=Általános!$F$10,GLOBAL!D24)))</f>
        <v>Adatok E Ft-ban</v>
      </c>
    </row>
    <row r="10" spans="1:5" s="48" customFormat="1" ht="38.25" customHeight="1">
      <c r="A10" s="130" t="str">
        <f>IF(Általános!$B$19=Általános!$F$8,GLOBAL!B25,IF(Általános!$B$19=Általános!$F$9,GLOBAL!C25,IF(Általános!$B$19=Általános!$F$10,GLOBAL!D25)))</f>
        <v>Sor-szám</v>
      </c>
      <c r="B10" s="340" t="str">
        <f>IF(Általános!$B$19=Általános!$F$8,GLOBAL!B26,IF(Általános!$B$19=Általános!$F$9,GLOBAL!C26,IF(Általános!$B$19=Általános!$F$10,GLOBAL!D26)))</f>
        <v>A tétel megnevezése</v>
      </c>
      <c r="C10" s="224" t="s">
        <v>1525</v>
      </c>
      <c r="D10" s="160" t="str">
        <f>IF(Általános!$B$19=Általános!$F$8,GLOBAL!B28,IF(Általános!$B$19=Általános!$F$9,GLOBAL!C28,IF(Általános!$B$19=Általános!$F$10,GLOBAL!D28)))</f>
        <v>Előző év(ek) módosításai</v>
      </c>
      <c r="E10" s="225" t="str">
        <f>IF(Általános!$B$19=Általános!$F$8,GLOBAL!B29,IF(Általános!$B$19=Általános!$F$9,GLOBAL!C29,IF(Általános!$B$19=Általános!$F$10,GLOBAL!D29)))</f>
        <v>Tárgyév</v>
      </c>
    </row>
    <row r="11" spans="1:5" ht="10.5" customHeight="1" thickBot="1">
      <c r="A11" s="226" t="s">
        <v>1530</v>
      </c>
      <c r="B11" s="227" t="s">
        <v>1531</v>
      </c>
      <c r="C11" s="227" t="s">
        <v>1532</v>
      </c>
      <c r="D11" s="227" t="s">
        <v>565</v>
      </c>
      <c r="E11" s="228" t="s">
        <v>566</v>
      </c>
    </row>
    <row r="12" spans="1:5" s="48" customFormat="1" ht="21" customHeight="1" thickBot="1">
      <c r="A12" s="229" t="s">
        <v>567</v>
      </c>
      <c r="B12" s="230" t="str">
        <f>"A. "&amp;IF(Általános!$B$19=Általános!$F$8,GLOBAL!B30&amp;" (02+10+18.sor)",IF(Általános!$B$19=Általános!$F$9,GLOBAL!C30&amp;" (Lines 02+10+18)",IF(Általános!$B$19=Általános!$F$10,GLOBAL!D30&amp;" (02+10+18. Reihe)")))</f>
        <v>A. Befektetett eszközök (02+10+18.sor)</v>
      </c>
      <c r="C12" s="231">
        <f>C13+C21+C29</f>
        <v>0</v>
      </c>
      <c r="D12" s="231">
        <f>D13+D21+D29</f>
        <v>0</v>
      </c>
      <c r="E12" s="232">
        <f>E13+E21+E29</f>
        <v>0</v>
      </c>
    </row>
    <row r="13" spans="1:5" s="48" customFormat="1" ht="21" customHeight="1">
      <c r="A13" s="233" t="s">
        <v>568</v>
      </c>
      <c r="B13" s="259" t="str">
        <f>"I. "&amp;IF(Általános!$B$19=Általános!$F$8,GLOBAL!B31&amp;" (03-09.sorok)",IF(Általános!$B$19=Általános!$F$9,GLOBAL!C31&amp;" (Lines 03-09)",IF(Általános!$B$19=Általános!$F$10,GLOBAL!D31&amp;" (03-09. Reihe)")))</f>
        <v>I. IMMATERIÁLIS  JAVAK (03-09.sorok)</v>
      </c>
      <c r="C13" s="234"/>
      <c r="D13" s="234">
        <f>SUM(D14:D20)</f>
        <v>0</v>
      </c>
      <c r="E13" s="235"/>
    </row>
    <row r="14" spans="1:5" s="48" customFormat="1" ht="21" customHeight="1">
      <c r="A14" s="236" t="s">
        <v>569</v>
      </c>
      <c r="B14" s="237" t="str">
        <f>IF(Általános!$B$19=Általános!$F$8,GLOBAL!B32,IF(Általános!$B$19=Általános!$F$9,GLOBAL!C32,IF(Általános!$B$19=Általános!$F$10,GLOBAL!D32)))</f>
        <v>    Alapítás-átszervezés aktivált értéke</v>
      </c>
      <c r="C14" s="1360">
        <f>'L.A.I'!X11</f>
        <v>0</v>
      </c>
      <c r="D14" s="238"/>
      <c r="E14" s="1361">
        <f>'L.A.I'!Y11</f>
        <v>0</v>
      </c>
    </row>
    <row r="15" spans="1:5" s="48" customFormat="1" ht="21" customHeight="1">
      <c r="A15" s="239" t="s">
        <v>570</v>
      </c>
      <c r="B15" s="237" t="str">
        <f>IF(Általános!$B$19=Általános!$F$8,GLOBAL!B33,IF(Általános!$B$19=Általános!$F$9,GLOBAL!C33,IF(Általános!$B$19=Általános!$F$10,GLOBAL!D33)))</f>
        <v>    Kísérleti fejlesztés aktivált értéke</v>
      </c>
      <c r="C15" s="1362">
        <f>'L.A.I'!X16</f>
        <v>0</v>
      </c>
      <c r="D15" s="1362"/>
      <c r="E15" s="1363"/>
    </row>
    <row r="16" spans="1:5" s="48" customFormat="1" ht="21" customHeight="1">
      <c r="A16" s="239" t="s">
        <v>571</v>
      </c>
      <c r="B16" s="237" t="str">
        <f>IF(Általános!$B$19=Általános!$F$8,GLOBAL!B34,IF(Általános!$B$19=Általános!$F$9,GLOBAL!C34,IF(Általános!$B$19=Általános!$F$10,GLOBAL!D34)))</f>
        <v>    Vagyoni értékű jogok</v>
      </c>
      <c r="C16" s="1362"/>
      <c r="D16" s="1362"/>
      <c r="E16" s="1363"/>
    </row>
    <row r="17" spans="1:5" s="48" customFormat="1" ht="21" customHeight="1">
      <c r="A17" s="239" t="s">
        <v>572</v>
      </c>
      <c r="B17" s="237" t="str">
        <f>IF(Általános!$B$19=Általános!$F$8,GLOBAL!B35,IF(Általános!$B$19=Általános!$F$9,GLOBAL!C35,IF(Általános!$B$19=Általános!$F$10,GLOBAL!D35)))</f>
        <v>    Szellemi termékek</v>
      </c>
      <c r="C17" s="1362"/>
      <c r="D17" s="1362"/>
      <c r="E17" s="1363"/>
    </row>
    <row r="18" spans="1:5" s="48" customFormat="1" ht="21" customHeight="1">
      <c r="A18" s="239" t="s">
        <v>573</v>
      </c>
      <c r="B18" s="237" t="str">
        <f>IF(Általános!$B$19=Általános!$F$8,GLOBAL!B36,IF(Általános!$B$19=Általános!$F$9,GLOBAL!C36,IF(Általános!$B$19=Általános!$F$10,GLOBAL!D36)))</f>
        <v>    Üzleti vagy cégérték</v>
      </c>
      <c r="C18" s="1362"/>
      <c r="D18" s="1362"/>
      <c r="E18" s="1363">
        <f>'L.A.I'!Y31</f>
        <v>0</v>
      </c>
    </row>
    <row r="19" spans="1:5" s="48" customFormat="1" ht="21" customHeight="1">
      <c r="A19" s="239" t="s">
        <v>574</v>
      </c>
      <c r="B19" s="237" t="str">
        <f>IF(Általános!$B$19=Általános!$F$8,GLOBAL!B37,IF(Általános!$B$19=Általános!$F$9,GLOBAL!C37,IF(Általános!$B$19=Általános!$F$10,GLOBAL!D37)))</f>
        <v>    Immateriális javakra adott előlegek</v>
      </c>
      <c r="C19" s="1362">
        <f>'L.A.I'!X36</f>
        <v>0</v>
      </c>
      <c r="D19" s="1362"/>
      <c r="E19" s="1363">
        <f>'L.A.I'!Y36</f>
        <v>0</v>
      </c>
    </row>
    <row r="20" spans="1:5" s="48" customFormat="1" ht="21" customHeight="1">
      <c r="A20" s="239" t="s">
        <v>575</v>
      </c>
      <c r="B20" s="237" t="str">
        <f>IF(Általános!$B$19=Általános!$F$8,GLOBAL!B38,IF(Általános!$B$19=Általános!$F$9,GLOBAL!C38,IF(Általános!$B$19=Általános!$F$10,GLOBAL!D38)))</f>
        <v>    Immateriális javak értékhelyesbítése</v>
      </c>
      <c r="C20" s="1364">
        <f>'L.A.I'!X41</f>
        <v>0</v>
      </c>
      <c r="D20" s="1364"/>
      <c r="E20" s="1365">
        <f>'L.A.I'!Y41</f>
        <v>0</v>
      </c>
    </row>
    <row r="21" spans="1:5" s="48" customFormat="1" ht="21" customHeight="1">
      <c r="A21" s="243" t="s">
        <v>576</v>
      </c>
      <c r="B21" s="260" t="str">
        <f>"II. "&amp;IF(Általános!$B$19=Általános!$F$8,GLOBAL!B39&amp;" (11-17.sorok)",IF(Általános!$B$19=Általános!$F$9,GLOBAL!C39&amp;" (Lines 11-17)",IF(Általános!$B$19=Általános!$F$10,GLOBAL!D39&amp;" (11-17. Reihe)")))</f>
        <v>II. TÁRGYI  ESZKÖZÖK (11-17.sorok)</v>
      </c>
      <c r="C21" s="244">
        <f>SUM(C22:C28)</f>
        <v>0</v>
      </c>
      <c r="D21" s="244">
        <f>SUM(D22:D28)</f>
        <v>0</v>
      </c>
      <c r="E21" s="245">
        <f>SUM(E22:E28)</f>
        <v>0</v>
      </c>
    </row>
    <row r="22" spans="1:5" s="48" customFormat="1" ht="21" customHeight="1">
      <c r="A22" s="236" t="s">
        <v>577</v>
      </c>
      <c r="B22" s="237" t="str">
        <f>"    "&amp;IF(Általános!$B$19=Általános!$F$8,GLOBAL!B40,IF(Általános!$B$19=Általános!$F$9,GLOBAL!C40,IF(Általános!$B$19=Általános!$F$10,GLOBAL!D40)))</f>
        <v>    Ingatlanok és kapcsolódó vagyoni értékű jogok</v>
      </c>
      <c r="C22" s="1361"/>
      <c r="D22" s="1360"/>
      <c r="E22" s="1361"/>
    </row>
    <row r="23" spans="1:5" s="48" customFormat="1" ht="21" customHeight="1">
      <c r="A23" s="239" t="s">
        <v>578</v>
      </c>
      <c r="B23" s="237" t="str">
        <f>"    "&amp;IF(Általános!$B$19=Általános!$F$8,GLOBAL!B41,IF(Általános!$B$19=Általános!$F$9,GLOBAL!C41,IF(Általános!$B$19=Általános!$F$10,GLOBAL!D41)))</f>
        <v>    Műszaki berendezések, gépek, járművek</v>
      </c>
      <c r="C23" s="1363"/>
      <c r="D23" s="1362"/>
      <c r="E23" s="1363"/>
    </row>
    <row r="24" spans="1:5" s="48" customFormat="1" ht="21" customHeight="1">
      <c r="A24" s="239" t="s">
        <v>1192</v>
      </c>
      <c r="B24" s="237" t="str">
        <f>"    "&amp;IF(Általános!$B$19=Általános!$F$8,GLOBAL!B42,IF(Általános!$B$19=Általános!$F$9,GLOBAL!C42,IF(Általános!$B$19=Általános!$F$10,GLOBAL!D42)))</f>
        <v>    Egyéb berendezések, felszerelések, járművek</v>
      </c>
      <c r="C24" s="1363"/>
      <c r="D24" s="1362"/>
      <c r="E24" s="1363"/>
    </row>
    <row r="25" spans="1:5" s="48" customFormat="1" ht="21" customHeight="1">
      <c r="A25" s="239" t="s">
        <v>1193</v>
      </c>
      <c r="B25" s="237" t="str">
        <f>"    "&amp;IF(Általános!$B$19=Általános!$F$8,GLOBAL!B43,IF(Általános!$B$19=Általános!$F$9,GLOBAL!C43,IF(Általános!$B$19=Általános!$F$10,GLOBAL!D43)))</f>
        <v>    Tenyészállatok</v>
      </c>
      <c r="C25" s="1363"/>
      <c r="D25" s="1362"/>
      <c r="E25" s="1363"/>
    </row>
    <row r="26" spans="1:5" s="48" customFormat="1" ht="21" customHeight="1">
      <c r="A26" s="239" t="s">
        <v>1194</v>
      </c>
      <c r="B26" s="237" t="str">
        <f>"    "&amp;IF(Általános!$B$19=Általános!$F$8,GLOBAL!B44,IF(Általános!$B$19=Általános!$F$9,GLOBAL!C44,IF(Általános!$B$19=Általános!$F$10,GLOBAL!D44)))</f>
        <v>    Beruházások, felújítások</v>
      </c>
      <c r="C26" s="1363"/>
      <c r="D26" s="1362"/>
      <c r="E26" s="1363"/>
    </row>
    <row r="27" spans="1:5" s="48" customFormat="1" ht="21" customHeight="1">
      <c r="A27" s="239" t="s">
        <v>1195</v>
      </c>
      <c r="B27" s="237" t="str">
        <f>IF(Általános!$B$19=Általános!$F$8,GLOBAL!B45,IF(Általános!$B$19=Általános!$F$9,GLOBAL!C45,IF(Általános!$B$19=Általános!$F$10,GLOBAL!D45)))</f>
        <v>    Beruházásokra adott előlegek</v>
      </c>
      <c r="C27" s="1363"/>
      <c r="D27" s="1362"/>
      <c r="E27" s="1363"/>
    </row>
    <row r="28" spans="1:5" s="48" customFormat="1" ht="21" customHeight="1">
      <c r="A28" s="239" t="s">
        <v>1196</v>
      </c>
      <c r="B28" s="237" t="str">
        <f>IF(Általános!$B$19=Általános!$F$8,GLOBAL!B46,IF(Általános!$B$19=Általános!$F$9,GLOBAL!C46,IF(Általános!$B$19=Általános!$F$10,GLOBAL!D46)))</f>
        <v>    Tárgyi eszközök értékhelyesbítése</v>
      </c>
      <c r="C28" s="1365"/>
      <c r="D28" s="1364"/>
      <c r="E28" s="1365"/>
    </row>
    <row r="29" spans="1:5" s="48" customFormat="1" ht="21" customHeight="1">
      <c r="A29" s="243" t="s">
        <v>1197</v>
      </c>
      <c r="B29" s="260" t="str">
        <f>"III. "&amp;IF(Általános!$B$19=Általános!$F$8,GLOBAL!B47&amp;" (19-25.sorok)",IF(Általános!$B$19=Általános!$F$9,GLOBAL!C47&amp;" (Lines 19-25)",IF(Általános!$B$19=Általános!$F$10,GLOBAL!D47&amp;" (19-25. Reihe)")))</f>
        <v>III. BEFEKTETETT PÉNZÜGYI ESZKÖZÖK (19-25.sorok)</v>
      </c>
      <c r="C29" s="244">
        <f>SUM(C30:C36)</f>
        <v>0</v>
      </c>
      <c r="D29" s="244">
        <f>SUM(D30:D36)</f>
        <v>0</v>
      </c>
      <c r="E29" s="245">
        <f>SUM(E30:E36)</f>
        <v>0</v>
      </c>
    </row>
    <row r="30" spans="1:5" s="48" customFormat="1" ht="21" customHeight="1">
      <c r="A30" s="236" t="s">
        <v>1198</v>
      </c>
      <c r="B30" s="237" t="str">
        <f>"    "&amp;IF(Általános!$B$19=Általános!$F$8,GLOBAL!B48,IF(Általános!$B$19=Általános!$F$9,GLOBAL!C48,IF(Általános!$B$19=Általános!$F$10,GLOBAL!D48)))</f>
        <v>    Tartós részesedés kapcsolt vállalkozásban</v>
      </c>
      <c r="C30" s="1360"/>
      <c r="D30" s="238"/>
      <c r="E30" s="1361"/>
    </row>
    <row r="31" spans="1:5" s="48" customFormat="1" ht="21" customHeight="1">
      <c r="A31" s="239" t="s">
        <v>1199</v>
      </c>
      <c r="B31" s="237" t="str">
        <f>"    "&amp;IF(Általános!$B$19=Általános!$F$8,GLOBAL!B49,IF(Általános!$B$19=Általános!$F$9,GLOBAL!C49,IF(Általános!$B$19=Általános!$F$10,GLOBAL!D49)))</f>
        <v>    Tartósan adott kölcsön kapcsolt vállalkozásban</v>
      </c>
      <c r="C31" s="1362">
        <f>'L.A.III'!T16</f>
        <v>0</v>
      </c>
      <c r="D31" s="241"/>
      <c r="E31" s="1363"/>
    </row>
    <row r="32" spans="1:5" s="48" customFormat="1" ht="21" customHeight="1">
      <c r="A32" s="239" t="s">
        <v>1200</v>
      </c>
      <c r="B32" s="237" t="str">
        <f>"    "&amp;IF(Általános!$B$19=Általános!$F$8,GLOBAL!B50,IF(Általános!$B$19=Általános!$F$9,GLOBAL!C50,IF(Általános!$B$19=Általános!$F$10,GLOBAL!D50)))</f>
        <v>    Egyéb tartós részesedés</v>
      </c>
      <c r="C32" s="1362">
        <f>'L.A.III'!T21</f>
        <v>0</v>
      </c>
      <c r="D32" s="241"/>
      <c r="E32" s="1363"/>
    </row>
    <row r="33" spans="1:5" s="48" customFormat="1" ht="21" customHeight="1">
      <c r="A33" s="239" t="s">
        <v>1201</v>
      </c>
      <c r="B33" s="237" t="str">
        <f>"    "&amp;IF(Általános!$B$19=Általános!$F$8,GLOBAL!B51,IF(Általános!$B$19=Általános!$F$9,GLOBAL!C51,IF(Általános!$B$19=Általános!$F$10,GLOBAL!D51)))</f>
        <v>    Tartósan adott kölcs. egyéb részesed. visz-ban álló vállalk-ban</v>
      </c>
      <c r="C33" s="1377">
        <f>'L.A.III'!T26</f>
        <v>0</v>
      </c>
      <c r="D33" s="246"/>
      <c r="E33" s="1379">
        <f>'L.A.III'!U26</f>
        <v>0</v>
      </c>
    </row>
    <row r="34" spans="1:5" s="48" customFormat="1" ht="21" customHeight="1">
      <c r="A34" s="239" t="s">
        <v>1202</v>
      </c>
      <c r="B34" s="237" t="str">
        <f>"    "&amp;IF(Általános!$B$19=Általános!$F$8,GLOBAL!B52,IF(Általános!$B$19=Általános!$F$9,GLOBAL!C52,IF(Általános!$B$19=Általános!$F$10,GLOBAL!D52)))</f>
        <v>    Egyéb tartósan adott kölcsön</v>
      </c>
      <c r="C34" s="1377">
        <f>'L.A.III'!T31</f>
        <v>0</v>
      </c>
      <c r="D34" s="246"/>
      <c r="E34" s="1379">
        <f>'L.A.III'!U31</f>
        <v>0</v>
      </c>
    </row>
    <row r="35" spans="1:5" s="48" customFormat="1" ht="21" customHeight="1">
      <c r="A35" s="239" t="s">
        <v>1203</v>
      </c>
      <c r="B35" s="237" t="str">
        <f>"    "&amp;IF(Általános!$B$19=Általános!$F$8,GLOBAL!B53,IF(Általános!$B$19=Általános!$F$9,GLOBAL!C53,IF(Általános!$B$19=Általános!$F$10,GLOBAL!D53)))</f>
        <v>    Tartós hitelviszonyt megtestesítő értékpapír</v>
      </c>
      <c r="C35" s="1377">
        <f>'L.A.III'!T36</f>
        <v>0</v>
      </c>
      <c r="D35" s="246"/>
      <c r="E35" s="1379">
        <f>'L.A.III'!U36</f>
        <v>0</v>
      </c>
    </row>
    <row r="36" spans="1:5" s="48" customFormat="1" ht="21" customHeight="1" thickBot="1">
      <c r="A36" s="247" t="s">
        <v>1204</v>
      </c>
      <c r="B36" s="322" t="str">
        <f>IF(Általános!$B$19=Általános!$F$8,GLOBAL!B54,IF(Általános!$B$19=Általános!$F$9,GLOBAL!C54,IF(Általános!$B$19=Általános!$F$10,GLOBAL!D54)))</f>
        <v>    Befektetett pénzügyi eszközök értékhelyesbítése</v>
      </c>
      <c r="C36" s="1378">
        <f>'L.A.III'!T41</f>
        <v>0</v>
      </c>
      <c r="D36" s="248"/>
      <c r="E36" s="1380">
        <f>'L.A.III'!U46</f>
        <v>0</v>
      </c>
    </row>
    <row r="37" spans="1:5" s="48" customFormat="1" ht="12.75" customHeight="1">
      <c r="A37" s="50"/>
      <c r="B37" s="39"/>
      <c r="C37" s="106"/>
      <c r="D37" s="106"/>
      <c r="E37" s="106"/>
    </row>
    <row r="38" spans="1:5" s="48" customFormat="1" ht="12.75" customHeight="1">
      <c r="A38" s="50"/>
      <c r="B38" s="39"/>
      <c r="C38" s="106"/>
      <c r="D38" s="106"/>
      <c r="E38" s="106"/>
    </row>
    <row r="39" ht="12.75">
      <c r="A39" s="4" t="str">
        <f>'Beszámoló Fedlap'!B47</f>
        <v>Keltezés:</v>
      </c>
    </row>
    <row r="40" spans="2:5" ht="12.75">
      <c r="B40" s="263" t="str">
        <f>'Beszámoló Fedlap'!E47</f>
        <v>Komárom, 2016.04.29.</v>
      </c>
      <c r="C40" s="24"/>
      <c r="D40" s="24"/>
      <c r="E40" s="24"/>
    </row>
    <row r="41" spans="2:5" ht="12.75">
      <c r="B41" s="126" t="str">
        <f>"              "&amp;IF(Általános!$B$19=Általános!$F$8,GLOBAL!B15,IF(Általános!$B$19=Általános!$F$9,GLOBAL!C15,IF(Általános!$B$19=Általános!$F$10,GLOBAL!D15)))</f>
        <v>                    P.H.</v>
      </c>
      <c r="C41" s="28" t="str">
        <f>IF(Általános!$B$19=Általános!$F$8,GLOBAL!B16,IF(Általános!$B$19=Általános!$F$9,GLOBAL!C16,IF(Általános!$B$19=Általános!$F$10,GLOBAL!D16)))</f>
        <v>vállalakozás vezetője</v>
      </c>
      <c r="D41" s="28"/>
      <c r="E41" s="28"/>
    </row>
    <row r="42" spans="3:5" ht="12.75">
      <c r="C42" s="28" t="str">
        <f>IF(Általános!$B$19=Általános!$F$8,GLOBAL!B17,IF(Általános!$B$19=Általános!$F$9,GLOBAL!C17,IF(Általános!$B$19=Általános!$F$10,GLOBAL!D17)))</f>
        <v>(képviselője)</v>
      </c>
      <c r="D42" s="28"/>
      <c r="E42" s="28"/>
    </row>
    <row r="43" spans="1:2" s="97" customFormat="1" ht="15" customHeight="1" thickBot="1">
      <c r="A43" s="95" t="str">
        <f>$A$1</f>
        <v>Statitsztikai számjel: 11183855353011311</v>
      </c>
      <c r="B43" s="96"/>
    </row>
    <row r="44" spans="1:5" s="97" customFormat="1" ht="15" customHeight="1" thickBot="1">
      <c r="A44" s="95" t="str">
        <f>$A$2</f>
        <v>Cégjegyzék szám: 11-09-002700</v>
      </c>
      <c r="B44" s="7"/>
      <c r="E44" s="100">
        <v>12</v>
      </c>
    </row>
    <row r="45" spans="1:2" s="97" customFormat="1" ht="15" customHeight="1">
      <c r="A45" s="95" t="str">
        <f>$A$3</f>
        <v>A vállalkozás megnevezése</v>
      </c>
      <c r="B45" s="96"/>
    </row>
    <row r="46" spans="2:5" s="97" customFormat="1" ht="16.5" customHeight="1">
      <c r="B46" s="105" t="str">
        <f>$B$4</f>
        <v>Komáromi Távhő Kft</v>
      </c>
      <c r="E46" s="101"/>
    </row>
    <row r="47" spans="1:5" s="1" customFormat="1" ht="18" customHeight="1">
      <c r="A47" s="102" t="str">
        <f>$A$5</f>
        <v>MÉRLEG "A" változat</v>
      </c>
      <c r="B47" s="103"/>
      <c r="C47" s="42"/>
      <c r="D47" s="42"/>
      <c r="E47" s="104"/>
    </row>
    <row r="48" spans="1:5" s="1" customFormat="1" ht="18" customHeight="1">
      <c r="A48" s="102" t="str">
        <f>$A$6</f>
        <v>Eszközök (aktívák)</v>
      </c>
      <c r="B48" s="103"/>
      <c r="C48" s="42"/>
      <c r="D48" s="42"/>
      <c r="E48" s="104"/>
    </row>
    <row r="49" spans="1:5" s="1" customFormat="1" ht="16.5" customHeight="1">
      <c r="A49" s="42" t="str">
        <f>$A$7</f>
        <v>Az üzleti év mérlegfordulónapja: 2016.december 31. Hőszolg.</v>
      </c>
      <c r="B49" s="103"/>
      <c r="C49" s="42"/>
      <c r="D49" s="42"/>
      <c r="E49" s="42"/>
    </row>
    <row r="50" spans="1:5" s="1" customFormat="1" ht="15.75" customHeight="1">
      <c r="A50" s="124" t="str">
        <f>$A$8</f>
        <v>A közzétett adatokat könyvvizsgáló ellenőrizte</v>
      </c>
      <c r="B50" s="103"/>
      <c r="C50" s="42"/>
      <c r="D50" s="42"/>
      <c r="E50" s="42"/>
    </row>
    <row r="51" spans="1:5" s="1" customFormat="1" ht="13.5" thickBot="1">
      <c r="A51" s="42"/>
      <c r="B51" s="103"/>
      <c r="C51" s="42"/>
      <c r="D51" s="42"/>
      <c r="E51" s="73" t="str">
        <f>$E$9</f>
        <v>Adatok E Ft-ban</v>
      </c>
    </row>
    <row r="52" spans="1:5" ht="38.25" customHeight="1">
      <c r="A52" s="130" t="str">
        <f>$A$10</f>
        <v>Sor-szám</v>
      </c>
      <c r="B52" s="131" t="str">
        <f>$B$10</f>
        <v>A tétel megnevezése</v>
      </c>
      <c r="C52" s="224" t="s">
        <v>1525</v>
      </c>
      <c r="D52" s="224" t="str">
        <f>$D$10</f>
        <v>Előző év(ek) módosításai</v>
      </c>
      <c r="E52" s="225" t="str">
        <f>$E$10</f>
        <v>Tárgyév</v>
      </c>
    </row>
    <row r="53" spans="1:5" ht="10.5" customHeight="1" thickBot="1">
      <c r="A53" s="264" t="s">
        <v>1530</v>
      </c>
      <c r="B53" s="62" t="s">
        <v>1531</v>
      </c>
      <c r="C53" s="348" t="s">
        <v>1532</v>
      </c>
      <c r="D53" s="348" t="s">
        <v>565</v>
      </c>
      <c r="E53" s="349" t="s">
        <v>566</v>
      </c>
    </row>
    <row r="54" spans="1:5" ht="18" customHeight="1" thickBot="1">
      <c r="A54" s="249" t="s">
        <v>1207</v>
      </c>
      <c r="B54" s="251" t="str">
        <f>"B. "&amp;IF(Általános!$B$19=Általános!$F$8,GLOBAL!B55&amp;" (27+34+40+45.sor)",IF(Általános!$B$19=Általános!$F$9,GLOBAL!C55&amp;" (Lines 27+34+40+45)",IF(Általános!$B$19=Általános!$F$10,GLOBAL!D55&amp;" (27+34+40+45. Reihe)")))</f>
        <v>B. Forgóeszközök (27+34+40+45.sor)</v>
      </c>
      <c r="C54" s="252">
        <f>+C55+C62+C68+C73</f>
        <v>0</v>
      </c>
      <c r="D54" s="252">
        <f>+D55+D62+D68+D73</f>
        <v>0</v>
      </c>
      <c r="E54" s="250">
        <f>+E55+E62+E68+E73</f>
        <v>0</v>
      </c>
    </row>
    <row r="55" spans="1:5" ht="18" customHeight="1">
      <c r="A55" s="233" t="s">
        <v>1208</v>
      </c>
      <c r="B55" s="258" t="str">
        <f>"I. "&amp;IF(Általános!$B$19=Általános!$F$8,UPPER(GLOBAL!B56)&amp;" (28-33.sorok)",IF(Általános!$B$19=Általános!$F$9,UPPER(GLOBAL!C56)&amp;" (Lines 28-33)",IF(Általános!$B$19=Általános!$F$10,UPPER(GLOBAL!D56)&amp;" (28-33. Reihe)")))</f>
        <v>I. KÉSZLETEK (28-33.sorok)</v>
      </c>
      <c r="C55" s="253"/>
      <c r="D55" s="253"/>
      <c r="E55" s="235"/>
    </row>
    <row r="56" spans="1:5" ht="18" customHeight="1">
      <c r="A56" s="254" t="s">
        <v>1209</v>
      </c>
      <c r="B56" s="255" t="str">
        <f>"    "&amp;IF(Általános!$B$19=Általános!$F$8,GLOBAL!B57,IF(Általános!$B$19=Általános!$F$9,GLOBAL!C57,IF(Általános!$B$19=Általános!$F$10,GLOBAL!D57)))</f>
        <v>    Anyagok</v>
      </c>
      <c r="C56" s="1508"/>
      <c r="D56" s="1508"/>
      <c r="E56" s="1361"/>
    </row>
    <row r="57" spans="1:5" ht="18" customHeight="1">
      <c r="A57" s="254" t="s">
        <v>1210</v>
      </c>
      <c r="B57" s="255" t="str">
        <f>"    "&amp;IF(Általános!$B$19=Általános!$F$8,GLOBAL!B58,IF(Általános!$B$19=Általános!$F$9,GLOBAL!C58,IF(Általános!$B$19=Általános!$F$10,GLOBAL!D58)))</f>
        <v>    Befejezetlen termelés és félkész termékek</v>
      </c>
      <c r="C57" s="1508"/>
      <c r="D57" s="1508"/>
      <c r="E57" s="1361"/>
    </row>
    <row r="58" spans="1:5" ht="18" customHeight="1">
      <c r="A58" s="254" t="s">
        <v>1156</v>
      </c>
      <c r="B58" s="255" t="str">
        <f>"    "&amp;IF(Általános!$B$19=Általános!$F$8,GLOBAL!B59,IF(Általános!$B$19=Általános!$F$9,GLOBAL!C59,IF(Általános!$B$19=Általános!$F$10,GLOBAL!D59)))</f>
        <v>    Növendék-, hízó- és egyéb állatok</v>
      </c>
      <c r="C58" s="1508"/>
      <c r="D58" s="1508"/>
      <c r="E58" s="1361"/>
    </row>
    <row r="59" spans="1:5" ht="18" customHeight="1">
      <c r="A59" s="254" t="s">
        <v>1157</v>
      </c>
      <c r="B59" s="255" t="str">
        <f>"    "&amp;IF(Általános!$B$19=Általános!$F$8,GLOBAL!B60,IF(Általános!$B$19=Általános!$F$9,GLOBAL!C60,IF(Általános!$B$19=Általános!$F$10,GLOBAL!D60)))</f>
        <v>    Késztermékek</v>
      </c>
      <c r="C59" s="1508"/>
      <c r="D59" s="1508"/>
      <c r="E59" s="1361"/>
    </row>
    <row r="60" spans="1:5" ht="18" customHeight="1">
      <c r="A60" s="254" t="s">
        <v>1158</v>
      </c>
      <c r="B60" s="255" t="str">
        <f>"    "&amp;IF(Általános!$B$19=Általános!$F$8,GLOBAL!B61,IF(Általános!$B$19=Általános!$F$9,GLOBAL!C61,IF(Általános!$B$19=Általános!$F$10,GLOBAL!D61)))</f>
        <v>    Áruk</v>
      </c>
      <c r="C60" s="1361"/>
      <c r="D60" s="1508"/>
      <c r="E60" s="1361"/>
    </row>
    <row r="61" spans="1:5" ht="18" customHeight="1">
      <c r="A61" s="236" t="s">
        <v>1159</v>
      </c>
      <c r="B61" s="255" t="str">
        <f>"    "&amp;IF(Általános!$B$19=Általános!$F$8,GLOBAL!B62,IF(Általános!$B$19=Általános!$F$9,GLOBAL!C62,IF(Általános!$B$19=Általános!$F$10,GLOBAL!D62)))</f>
        <v>    Készletekre adott előlegek</v>
      </c>
      <c r="C61" s="1365"/>
      <c r="D61" s="1509"/>
      <c r="E61" s="1365"/>
    </row>
    <row r="62" spans="1:5" ht="18" customHeight="1">
      <c r="A62" s="243" t="s">
        <v>1160</v>
      </c>
      <c r="B62" s="257" t="str">
        <f>"II. "&amp;IF(Általános!$B$19=Általános!$F$8,UPPER(GLOBAL!B63)&amp;" (35-39.sorok)",IF(Általános!$B$19=Általános!$F$9,UPPER(GLOBAL!C63)&amp;" (Lines 35-39)",IF(Általános!$B$19=Általános!$F$10,UPPER(GLOBAL!D63)&amp;" (35-39. Reihe)")))</f>
        <v>II. KÖVETELÉSEK (35-39.sorok)</v>
      </c>
      <c r="C62" s="256">
        <f>SUM(C63:C67)</f>
        <v>0</v>
      </c>
      <c r="D62" s="256">
        <f>SUM(D63:D67)</f>
        <v>0</v>
      </c>
      <c r="E62" s="256">
        <f>SUM(E63:E67)</f>
        <v>0</v>
      </c>
    </row>
    <row r="63" spans="1:5" ht="18" customHeight="1">
      <c r="A63" s="254" t="s">
        <v>1161</v>
      </c>
      <c r="B63" s="255" t="str">
        <f>"    "&amp;IF(Általános!$B$19=Általános!$F$8,GLOBAL!B64,IF(Általános!$B$19=Általános!$F$9,GLOBAL!C64,IF(Általános!$B$19=Általános!$F$10,GLOBAL!D64)))</f>
        <v>    Követelések áruszállításból és szolgáltatásból (vevők)</v>
      </c>
      <c r="C63" s="1361"/>
      <c r="D63" s="1508"/>
      <c r="E63" s="1361"/>
    </row>
    <row r="64" spans="1:5" ht="18" customHeight="1">
      <c r="A64" s="254" t="s">
        <v>1162</v>
      </c>
      <c r="B64" s="255" t="str">
        <f>"    "&amp;IF(Általános!$B$19=Általános!$F$8,GLOBAL!B65,IF(Általános!$B$19=Általános!$F$9,GLOBAL!C65,IF(Általános!$B$19=Általános!$F$10,GLOBAL!D65)))</f>
        <v>    Követelések kapcsolt vállalkozással szemben</v>
      </c>
      <c r="C64" s="1361"/>
      <c r="D64" s="1508"/>
      <c r="E64" s="1361"/>
    </row>
    <row r="65" spans="1:5" ht="18" customHeight="1">
      <c r="A65" s="254" t="s">
        <v>1163</v>
      </c>
      <c r="B65" s="255" t="str">
        <f>"    "&amp;IF(Általános!$B$19=Általános!$F$8,GLOBAL!B66,IF(Általános!$B$19=Általános!$F$9,GLOBAL!C66,IF(Általános!$B$19=Általános!$F$10,GLOBAL!D66)))</f>
        <v>    Követelések egyéb részesed. viszonyban lévő vállalk-al szemben</v>
      </c>
      <c r="C65" s="1361"/>
      <c r="D65" s="1508"/>
      <c r="E65" s="1361"/>
    </row>
    <row r="66" spans="1:5" ht="18" customHeight="1">
      <c r="A66" s="236" t="s">
        <v>1164</v>
      </c>
      <c r="B66" s="255" t="str">
        <f>"    "&amp;IF(Általános!$B$19=Általános!$F$8,GLOBAL!B67,IF(Általános!$B$19=Általános!$F$9,GLOBAL!C67,IF(Általános!$B$19=Általános!$F$10,GLOBAL!D67)))</f>
        <v>    Váltókövetelések</v>
      </c>
      <c r="C66" s="1365"/>
      <c r="D66" s="1509"/>
      <c r="E66" s="1365"/>
    </row>
    <row r="67" spans="1:5" ht="18" customHeight="1">
      <c r="A67" s="239" t="s">
        <v>1165</v>
      </c>
      <c r="B67" s="255" t="str">
        <f>"    "&amp;IF(Általános!$B$19=Általános!$F$8,GLOBAL!B68,IF(Általános!$B$19=Általános!$F$9,GLOBAL!C68,IF(Általános!$B$19=Általános!$F$10,GLOBAL!D68)))</f>
        <v>    Egyéb követelések</v>
      </c>
      <c r="C67" s="1379"/>
      <c r="D67" s="1510"/>
      <c r="E67" s="1379"/>
    </row>
    <row r="68" spans="1:5" ht="18" customHeight="1">
      <c r="A68" s="243" t="s">
        <v>1166</v>
      </c>
      <c r="B68" s="257" t="str">
        <f>"III. "&amp;IF(Általános!$B$19=Általános!$F$8,UPPER(GLOBAL!B69)&amp;" (41-44.sorok)",IF(Általános!$B$19=Általános!$F$9,UPPER(GLOBAL!C69)&amp;" (Lines 41-44)",IF(Általános!$B$19=Általános!$F$10,UPPER(GLOBAL!D69)&amp;" (41-44.Reihe)")))</f>
        <v>III. ÉRTÉKPAPÍROK (41-44.sorok)</v>
      </c>
      <c r="C68" s="256">
        <f>SUM(C69:C72)</f>
        <v>0</v>
      </c>
      <c r="D68" s="256">
        <f>SUM(D69:D72)</f>
        <v>0</v>
      </c>
      <c r="E68" s="245">
        <f>SUM(E69:E72)</f>
        <v>0</v>
      </c>
    </row>
    <row r="69" spans="1:5" ht="18" customHeight="1">
      <c r="A69" s="254" t="s">
        <v>233</v>
      </c>
      <c r="B69" s="255" t="str">
        <f>"    "&amp;IF(Általános!$B$19=Általános!$F$8,GLOBAL!B70,IF(Általános!$B$19=Általános!$F$9,GLOBAL!C70,IF(Általános!$B$19=Általános!$F$10,GLOBAL!D70)))</f>
        <v>    Részesedés kapcsolt vállalkozásban</v>
      </c>
      <c r="C69" s="1508"/>
      <c r="D69" s="1508"/>
      <c r="E69" s="1361"/>
    </row>
    <row r="70" spans="1:5" ht="18" customHeight="1">
      <c r="A70" s="254" t="s">
        <v>234</v>
      </c>
      <c r="B70" s="255" t="str">
        <f>"    "&amp;IF(Általános!$B$19=Általános!$F$8,GLOBAL!B71,IF(Általános!$B$19=Általános!$F$9,GLOBAL!C71,IF(Általános!$B$19=Általános!$F$10,GLOBAL!D71)))</f>
        <v>    Egyéb részesedések</v>
      </c>
      <c r="C70" s="1508"/>
      <c r="D70" s="1508"/>
      <c r="E70" s="1361"/>
    </row>
    <row r="71" spans="1:5" ht="18" customHeight="1">
      <c r="A71" s="254" t="s">
        <v>235</v>
      </c>
      <c r="B71" s="255" t="str">
        <f>"    "&amp;IF(Általános!$B$19=Általános!$F$8,GLOBAL!B72,IF(Általános!$B$19=Általános!$F$9,GLOBAL!C72,IF(Általános!$B$19=Általános!$F$10,GLOBAL!D72)))</f>
        <v>    Saját részvények, saját üzletrészek</v>
      </c>
      <c r="C71" s="1508">
        <f>'L.B.III'!R21</f>
        <v>0</v>
      </c>
      <c r="D71" s="1508"/>
      <c r="E71" s="1361">
        <f>'L.B.III'!S21</f>
        <v>0</v>
      </c>
    </row>
    <row r="72" spans="1:5" ht="18" customHeight="1">
      <c r="A72" s="236" t="s">
        <v>236</v>
      </c>
      <c r="B72" s="255" t="str">
        <f>"    "&amp;IF(Általános!$B$19=Általános!$F$8,GLOBAL!B73,IF(Általános!$B$19=Általános!$F$9,GLOBAL!C73,IF(Általános!$B$19=Általános!$F$10,GLOBAL!D73)))</f>
        <v>    Forgatási célú, hitelviszonyt megtestesítő értékpapírok</v>
      </c>
      <c r="C72" s="1509">
        <f>'L.B.III'!R26</f>
        <v>0</v>
      </c>
      <c r="D72" s="1509"/>
      <c r="E72" s="1365"/>
    </row>
    <row r="73" spans="1:5" ht="18" customHeight="1">
      <c r="A73" s="243" t="s">
        <v>237</v>
      </c>
      <c r="B73" s="257" t="str">
        <f>"IV. "&amp;IF(Általános!$B$19=Általános!$F$8,GLOBAL!B74&amp;" (46-47.sorok)",IF(Általános!$B$19=Általános!$F$9,GLOBAL!C74&amp;" (Lines 46-47)",IF(Általános!$B$19=Általános!$F$10,GLOBAL!D74&amp;" (46-47. Reihe)")))</f>
        <v>IV. PÉNZESZKÖZÖK (46-47.sorok)</v>
      </c>
      <c r="C73" s="245">
        <f>SUM(C74:C75)</f>
        <v>0</v>
      </c>
      <c r="D73" s="245">
        <f>SUM(D74:D75)</f>
        <v>0</v>
      </c>
      <c r="E73" s="245">
        <f>SUM(E74:E75)</f>
        <v>0</v>
      </c>
    </row>
    <row r="74" spans="1:5" ht="18" customHeight="1">
      <c r="A74" s="254" t="s">
        <v>238</v>
      </c>
      <c r="B74" s="255" t="str">
        <f>IF(Általános!$B$19=Általános!$F$8,GLOBAL!B75,IF(Általános!$B$19=Általános!$F$9,GLOBAL!C75,IF(Általános!$B$19=Általános!$F$10,GLOBAL!D75)))</f>
        <v>    Pénztár, csekkek</v>
      </c>
      <c r="C74" s="1361"/>
      <c r="D74" s="1508"/>
      <c r="E74" s="1361"/>
    </row>
    <row r="75" spans="1:5" ht="18" customHeight="1" thickBot="1">
      <c r="A75" s="229" t="s">
        <v>239</v>
      </c>
      <c r="B75" s="255" t="str">
        <f>IF(Általános!$B$19=Általános!$F$8,GLOBAL!B76,IF(Általános!$B$19=Általános!$F$9,GLOBAL!C76,IF(Általános!$B$19=Általános!$F$10,GLOBAL!D76)))</f>
        <v>    Bankbetétek</v>
      </c>
      <c r="C75" s="1365"/>
      <c r="D75" s="1509"/>
      <c r="E75" s="1365"/>
    </row>
    <row r="76" spans="1:5" ht="18" customHeight="1" thickBot="1">
      <c r="A76" s="249" t="s">
        <v>240</v>
      </c>
      <c r="B76" s="251" t="str">
        <f>"C. "&amp;IF(Általános!$B$19=Általános!$F$8,GLOBAL!B77&amp;" (49-51.sorok)",IF(Általános!$B$19=Általános!$F$9,GLOBAL!C77&amp;" (Lines 49-51)",IF(Általános!$B$19=Általános!$F$10,GLOBAL!D77&amp;" (49-51. Reihe)")))</f>
        <v>C. Aktív időbeli elhatárolások (49-51.sorok)</v>
      </c>
      <c r="C76" s="252">
        <f>SUM(C77:C79)</f>
        <v>0</v>
      </c>
      <c r="D76" s="252">
        <f>SUM(D77:D79)</f>
        <v>0</v>
      </c>
      <c r="E76" s="250">
        <f>SUM(E77:E79)</f>
        <v>0</v>
      </c>
    </row>
    <row r="77" spans="1:5" ht="18" customHeight="1">
      <c r="A77" s="343" t="s">
        <v>241</v>
      </c>
      <c r="B77" s="344" t="str">
        <f>"    "&amp;IF(Általános!$B$19=Általános!$F$8,GLOBAL!B78,IF(Általános!$B$19=Általános!$F$9,GLOBAL!C78,IF(Általános!$B$19=Általános!$F$10,GLOBAL!D78)))</f>
        <v>    Bevételek aktív időbeli elhatárolása</v>
      </c>
      <c r="C77" s="1511"/>
      <c r="D77" s="1511"/>
      <c r="E77" s="1512"/>
    </row>
    <row r="78" spans="1:5" ht="18" customHeight="1">
      <c r="A78" s="254" t="s">
        <v>242</v>
      </c>
      <c r="B78" s="255" t="str">
        <f>"    "&amp;IF(Általános!$B$19=Általános!$F$8,GLOBAL!B79,IF(Általános!$B$19=Általános!$F$9,GLOBAL!C79,IF(Általános!$B$19=Általános!$F$10,GLOBAL!D79)))</f>
        <v>    Költségek, ráfordítások aktív időbeli elhatárolása</v>
      </c>
      <c r="C78" s="1508"/>
      <c r="D78" s="1508"/>
      <c r="E78" s="1361"/>
    </row>
    <row r="79" spans="1:5" ht="18" customHeight="1" thickBot="1">
      <c r="A79" s="247" t="s">
        <v>248</v>
      </c>
      <c r="B79" s="345" t="str">
        <f>"    "&amp;IF(Általános!$B$19=Általános!$F$8,GLOBAL!B80,IF(Általános!$B$19=Általános!$F$9,GLOBAL!C80,IF(Általános!$B$19=Általános!$F$10,GLOBAL!D80)))</f>
        <v>    Halasztott ráfordítások</v>
      </c>
      <c r="C79" s="1513">
        <f>'L.C'!P21</f>
        <v>0</v>
      </c>
      <c r="D79" s="1513"/>
      <c r="E79" s="1380"/>
    </row>
    <row r="80" spans="1:5" s="1" customFormat="1" ht="9.75" customHeight="1" thickBot="1">
      <c r="A80" s="50"/>
      <c r="B80" s="9"/>
      <c r="C80" s="183"/>
      <c r="D80" s="183"/>
      <c r="E80" s="342"/>
    </row>
    <row r="81" spans="1:5" ht="18" customHeight="1" thickBot="1">
      <c r="A81" s="49" t="s">
        <v>249</v>
      </c>
      <c r="B81" s="10" t="str">
        <f>IF(Általános!$B$19=Általános!$F$8,GLOBAL!B81&amp;" (01+26+48.sor)",IF(Általános!$B$19=Általános!$F$9,GLOBAL!C81&amp;" (Lines 01+26+48)",IF(Általános!$B$19=Általános!$F$10,GLOBAL!D81&amp;" (01+26+48. Reihe)")))</f>
        <v>ESZKÖZÖK (AKTÍVÁK) ÖSSZESEN (01+26+48.sor)</v>
      </c>
      <c r="C81" s="182">
        <f>C12+C54+C76</f>
        <v>0</v>
      </c>
      <c r="D81" s="182">
        <f>D12+D54+D76</f>
        <v>0</v>
      </c>
      <c r="E81" s="182">
        <f>E12+E54+E76</f>
        <v>0</v>
      </c>
    </row>
    <row r="82" spans="1:5" ht="18" customHeight="1">
      <c r="A82" s="50"/>
      <c r="B82" s="125"/>
      <c r="C82" s="43"/>
      <c r="D82" s="43"/>
      <c r="E82" s="43"/>
    </row>
    <row r="83" ht="12.75">
      <c r="A83" s="4" t="str">
        <f>$A$39</f>
        <v>Keltezés:</v>
      </c>
    </row>
    <row r="84" ht="12.75">
      <c r="B84" s="263" t="str">
        <f>$B$40</f>
        <v>Komárom, 2016.04.29.</v>
      </c>
    </row>
    <row r="85" spans="2:5" ht="12.75">
      <c r="B85" s="126" t="str">
        <f>$B$41</f>
        <v>                    P.H.</v>
      </c>
      <c r="C85" s="24"/>
      <c r="D85" s="24"/>
      <c r="E85" s="24"/>
    </row>
    <row r="86" spans="3:5" ht="12.75">
      <c r="C86" s="28" t="str">
        <f>$C$41</f>
        <v>vállalakozás vezetője</v>
      </c>
      <c r="D86" s="28"/>
      <c r="E86" s="28"/>
    </row>
    <row r="87" spans="3:5" ht="12.75">
      <c r="C87" s="28" t="str">
        <f>$C$42</f>
        <v>(képviselője)</v>
      </c>
      <c r="D87" s="28"/>
      <c r="E87" s="28"/>
    </row>
    <row r="88" spans="1:2" s="97" customFormat="1" ht="15" customHeight="1" thickBot="1">
      <c r="A88" s="95" t="str">
        <f>$A$1</f>
        <v>Statitsztikai számjel: 11183855353011311</v>
      </c>
      <c r="B88" s="96"/>
    </row>
    <row r="89" spans="1:5" s="97" customFormat="1" ht="15" customHeight="1" thickBot="1">
      <c r="A89" s="95" t="str">
        <f>$A$2</f>
        <v>Cégjegyzék szám: 11-09-002700</v>
      </c>
      <c r="B89" s="7"/>
      <c r="D89" s="98"/>
      <c r="E89" s="100">
        <v>13</v>
      </c>
    </row>
    <row r="90" spans="1:4" s="97" customFormat="1" ht="15" customHeight="1">
      <c r="A90" s="95" t="str">
        <f>$A$3</f>
        <v>A vállalkozás megnevezése</v>
      </c>
      <c r="B90" s="96"/>
      <c r="D90" s="98"/>
    </row>
    <row r="91" spans="2:4" s="97" customFormat="1" ht="16.5" customHeight="1">
      <c r="B91" s="105" t="str">
        <f>$B$4</f>
        <v>Komáromi Távhő Kft</v>
      </c>
      <c r="C91" s="101"/>
      <c r="D91" s="98"/>
    </row>
    <row r="92" spans="1:5" s="1" customFormat="1" ht="18" customHeight="1">
      <c r="A92" s="102" t="str">
        <f>$A$5</f>
        <v>MÉRLEG "A" változat</v>
      </c>
      <c r="B92" s="103"/>
      <c r="C92" s="104"/>
      <c r="D92" s="28"/>
      <c r="E92" s="42"/>
    </row>
    <row r="93" spans="1:5" s="1" customFormat="1" ht="18" customHeight="1">
      <c r="A93" s="102" t="str">
        <f>IF(Általános!$B$19=Általános!$F$8,GLOBAL!B22,IF(Általános!$B$19=Általános!$F$9,GLOBAL!C22,IF(Általános!$B$19=Általános!$F$10,GLOBAL!D22)))</f>
        <v>Források (passzívák)</v>
      </c>
      <c r="B93" s="103"/>
      <c r="C93" s="104"/>
      <c r="D93" s="28"/>
      <c r="E93" s="42"/>
    </row>
    <row r="94" spans="1:5" s="1" customFormat="1" ht="16.5" customHeight="1">
      <c r="A94" s="42" t="str">
        <f>$A$7</f>
        <v>Az üzleti év mérlegfordulónapja: 2016.december 31. Hőszolg.</v>
      </c>
      <c r="B94" s="103"/>
      <c r="C94" s="42"/>
      <c r="D94" s="28"/>
      <c r="E94" s="42"/>
    </row>
    <row r="95" spans="1:5" s="1" customFormat="1" ht="16.5" customHeight="1">
      <c r="A95" s="124" t="str">
        <f>$A$8</f>
        <v>A közzétett adatokat könyvvizsgáló ellenőrizte</v>
      </c>
      <c r="B95" s="103"/>
      <c r="C95" s="42"/>
      <c r="D95" s="28"/>
      <c r="E95" s="42"/>
    </row>
    <row r="96" spans="1:5" s="1" customFormat="1" ht="16.5" customHeight="1">
      <c r="A96" s="42"/>
      <c r="B96" s="103"/>
      <c r="C96" s="42"/>
      <c r="D96" s="28"/>
      <c r="E96" s="42"/>
    </row>
    <row r="97" spans="1:5" s="1" customFormat="1" ht="16.5" customHeight="1">
      <c r="A97" s="42"/>
      <c r="B97" s="103"/>
      <c r="C97" s="42"/>
      <c r="D97" s="28"/>
      <c r="E97" s="42"/>
    </row>
    <row r="98" spans="1:5" s="1" customFormat="1" ht="16.5" customHeight="1">
      <c r="A98" s="42"/>
      <c r="B98" s="103"/>
      <c r="C98" s="42"/>
      <c r="D98" s="28"/>
      <c r="E98" s="42"/>
    </row>
    <row r="99" spans="1:5" s="1" customFormat="1" ht="16.5" customHeight="1">
      <c r="A99" s="42"/>
      <c r="B99" s="103"/>
      <c r="C99" s="42"/>
      <c r="D99" s="28"/>
      <c r="E99" s="42"/>
    </row>
    <row r="100" spans="1:5" s="1" customFormat="1" ht="16.5" customHeight="1">
      <c r="A100" s="42"/>
      <c r="B100" s="103"/>
      <c r="C100" s="42"/>
      <c r="D100" s="28"/>
      <c r="E100" s="42"/>
    </row>
    <row r="101" spans="1:5" ht="13.5" thickBot="1">
      <c r="A101" s="1"/>
      <c r="B101" s="7"/>
      <c r="C101" s="1"/>
      <c r="D101" s="1"/>
      <c r="E101" s="73" t="str">
        <f>$E$9</f>
        <v>Adatok E Ft-ban</v>
      </c>
    </row>
    <row r="102" spans="1:5" s="48" customFormat="1" ht="44.25" customHeight="1">
      <c r="A102" s="130" t="str">
        <f>$A$10</f>
        <v>Sor-szám</v>
      </c>
      <c r="B102" s="131" t="str">
        <f>$B$10</f>
        <v>A tétel megnevezése</v>
      </c>
      <c r="C102" s="224" t="s">
        <v>1525</v>
      </c>
      <c r="D102" s="224" t="str">
        <f>$D$10</f>
        <v>Előző év(ek) módosításai</v>
      </c>
      <c r="E102" s="225" t="str">
        <f>$E$10</f>
        <v>Tárgyév</v>
      </c>
    </row>
    <row r="103" spans="1:5" s="48" customFormat="1" ht="10.5" customHeight="1" thickBot="1">
      <c r="A103" s="133" t="s">
        <v>1530</v>
      </c>
      <c r="B103" s="296" t="s">
        <v>1531</v>
      </c>
      <c r="C103" s="297" t="s">
        <v>1532</v>
      </c>
      <c r="D103" s="297" t="s">
        <v>565</v>
      </c>
      <c r="E103" s="136" t="s">
        <v>566</v>
      </c>
    </row>
    <row r="104" spans="1:5" s="48" customFormat="1" ht="21" customHeight="1" thickBot="1">
      <c r="A104" s="249" t="s">
        <v>252</v>
      </c>
      <c r="B104" s="298" t="str">
        <f>"D. "&amp;IF(Általános!$B$19=Általános!$F$8,GLOBAL!B82&amp;" (54+56+57+58+59+60+61.sorok)",IF(Általános!$B$19=Általános!$F$9,GLOBAL!C82&amp;" (Lines 54+56+57+58+59+60+61)",IF(Általános!$B$19=Általános!$F$10,GLOBAL!D82&amp;" (54+56+57+58+59+60+61. Reihe)")))</f>
        <v>D. Saját tőke (54+56+57+58+59+60+61.sorok)</v>
      </c>
      <c r="C104" s="299">
        <f>C105+SUM(C107:C112)</f>
        <v>0</v>
      </c>
      <c r="D104" s="299">
        <f>D105+SUM(D107:D112)</f>
        <v>0</v>
      </c>
      <c r="E104" s="300">
        <f>E105+SUM(E107:E112)</f>
        <v>0</v>
      </c>
    </row>
    <row r="105" spans="1:5" s="48" customFormat="1" ht="21" customHeight="1">
      <c r="A105" s="233" t="s">
        <v>253</v>
      </c>
      <c r="B105" s="321" t="str">
        <f>"I. "&amp;IF(Általános!$B$19=Általános!$F$8,UPPER(GLOBAL!B83),IF(Általános!$B$19=Általános!$F$9,UPPER(GLOBAL!C83),IF(Általános!$B$19=Általános!$F$10,UPPER(GLOBAL!D83))))</f>
        <v>I. JEGYZETT TŐKE</v>
      </c>
      <c r="C105" s="310"/>
      <c r="D105" s="302"/>
      <c r="E105" s="311"/>
    </row>
    <row r="106" spans="1:5" s="48" customFormat="1" ht="21" customHeight="1">
      <c r="A106" s="243" t="s">
        <v>254</v>
      </c>
      <c r="B106" s="303" t="str">
        <f>" "&amp;IF(Általános!$B$19=Általános!$F$8,GLOBAL!B84,IF(Általános!$B$19=Általános!$F$9,GLOBAL!C84,IF(Általános!$B$19=Általános!$F$10,GLOBAL!D84)))</f>
        <v>    54.sorból:visszavásárolt tulajdonosi részesedés névértéken</v>
      </c>
      <c r="C106" s="304"/>
      <c r="D106" s="304"/>
      <c r="E106" s="314"/>
    </row>
    <row r="107" spans="1:5" s="48" customFormat="1" ht="21" customHeight="1">
      <c r="A107" s="243" t="s">
        <v>255</v>
      </c>
      <c r="B107" s="303" t="str">
        <f>"II. "&amp;IF(Általános!$B$19=Általános!$F$8,GLOBAL!B85,IF(Általános!$B$19=Általános!$F$9,GLOBAL!C85,IF(Általános!$B$19=Általános!$F$10,GLOBAL!D85)))</f>
        <v>II. JEGYZETT, DE MÉG BE NEM FIZETETT TŐKE ( - )</v>
      </c>
      <c r="C107" s="313">
        <f>'L.D'!H93</f>
        <v>0</v>
      </c>
      <c r="D107" s="304"/>
      <c r="E107" s="314">
        <f>'L.D'!I93</f>
        <v>0</v>
      </c>
    </row>
    <row r="108" spans="1:5" s="48" customFormat="1" ht="21" customHeight="1">
      <c r="A108" s="243" t="s">
        <v>256</v>
      </c>
      <c r="B108" s="303" t="str">
        <f>"III. "&amp;IF(Általános!$B$19=Általános!$F$8,UPPER(GLOBAL!B86),IF(Általános!$B$19=Általános!$F$9,UPPER(GLOBAL!C86),IF(Általános!$B$19=Általános!$F$10,UPPER(GLOBAL!D86))))</f>
        <v>III. TŐKETARTALÉK</v>
      </c>
      <c r="C108" s="313">
        <f>'L.D'!H94</f>
        <v>0</v>
      </c>
      <c r="D108" s="304"/>
      <c r="E108" s="314"/>
    </row>
    <row r="109" spans="1:5" s="48" customFormat="1" ht="21" customHeight="1">
      <c r="A109" s="243" t="s">
        <v>257</v>
      </c>
      <c r="B109" s="303" t="str">
        <f>"IV. "&amp;IF(Általános!$B$19=Általános!$F$8,UPPER(GLOBAL!B87),IF(Általános!$B$19=Általános!$F$9,UPPER(GLOBAL!C87),IF(Általános!$B$19=Általános!$F$10,UPPER(GLOBAL!D87))))</f>
        <v>IV. EREDMÉNYTARTALÉK</v>
      </c>
      <c r="C109" s="314"/>
      <c r="D109" s="304"/>
      <c r="E109" s="314"/>
    </row>
    <row r="110" spans="1:5" s="48" customFormat="1" ht="21" customHeight="1">
      <c r="A110" s="243" t="s">
        <v>258</v>
      </c>
      <c r="B110" s="303" t="str">
        <f>"V. "&amp;IF(Általános!$B$19=Általános!$F$8,UPPER(GLOBAL!B88),IF(Általános!$B$19=Általános!$F$9,UPPER(GLOBAL!C88),IF(Általános!$B$19=Általános!$F$10,UPPER(GLOBAL!D88))))</f>
        <v>V. LEKÖTÖTT TARTALÉK</v>
      </c>
      <c r="C110" s="314"/>
      <c r="D110" s="304"/>
      <c r="E110" s="314"/>
    </row>
    <row r="111" spans="1:5" s="48" customFormat="1" ht="21" customHeight="1">
      <c r="A111" s="243" t="s">
        <v>259</v>
      </c>
      <c r="B111" s="303" t="str">
        <f>"VI. "&amp;IF(Általános!$B$19=Általános!$F$8,GLOBAL!B89,IF(Általános!$B$19=Általános!$F$9,GLOBAL!C89,IF(Általános!$B$19=Általános!$F$10,GLOBAL!D89)))</f>
        <v>VI. ÉRTÉKELÉSI TARTALÉK</v>
      </c>
      <c r="C111" s="314"/>
      <c r="D111" s="304"/>
      <c r="E111" s="314"/>
    </row>
    <row r="112" spans="1:5" s="48" customFormat="1" ht="21" customHeight="1" thickBot="1">
      <c r="A112" s="305" t="s">
        <v>260</v>
      </c>
      <c r="B112" s="306" t="str">
        <f>"VII. "&amp;IF(Általános!$B$19=Általános!$F$8,UPPER(GLOBAL!B90),IF(Általános!$B$19=Általános!$F$9,UPPER(GLOBAL!C90),IF(Általános!$B$19=Általános!$F$10,UPPER(GLOBAL!D90))))</f>
        <v>VII. MÉRLEG SZERINTI EREDMÉNY</v>
      </c>
      <c r="C112" s="314"/>
      <c r="D112" s="307"/>
      <c r="E112" s="314"/>
    </row>
    <row r="113" spans="1:5" s="48" customFormat="1" ht="21" customHeight="1" thickBot="1">
      <c r="A113" s="249" t="s">
        <v>261</v>
      </c>
      <c r="B113" s="298" t="str">
        <f>"E. "&amp;IF(Általános!$B$19=Általános!$F$8,GLOBAL!B91&amp;" (63-65.sorok)",IF(Általános!$B$19=Általános!$F$9,GLOBAL!C91&amp;" (Lines 63-65)",IF(Általános!$B$19=Általános!$F$10,GLOBAL!D91&amp;" (63-65. Reihe)")))</f>
        <v>E. Céltartalékok (63-65.sorok)</v>
      </c>
      <c r="C113" s="299">
        <f>SUM(C114:C116)</f>
        <v>0</v>
      </c>
      <c r="D113" s="299">
        <f>SUM(D114:D116)</f>
        <v>0</v>
      </c>
      <c r="E113" s="300"/>
    </row>
    <row r="114" spans="1:5" s="48" customFormat="1" ht="21" customHeight="1">
      <c r="A114" s="254" t="s">
        <v>262</v>
      </c>
      <c r="B114" s="346" t="str">
        <f>"    "&amp;IF(Általános!$B$19=Általános!$F$8,GLOBAL!B92,IF(Általános!$B$19=Általános!$F$9,GLOBAL!C92,IF(Általános!$B$19=Általános!$F$10,GLOBAL!D92)))</f>
        <v>    Céltartalék a várható kötelezettségekre</v>
      </c>
      <c r="C114" s="1541">
        <f>'L.E'!I11</f>
        <v>0</v>
      </c>
      <c r="D114" s="1541"/>
      <c r="E114" s="1542">
        <f>'L.E'!J11</f>
        <v>0</v>
      </c>
    </row>
    <row r="115" spans="1:5" s="48" customFormat="1" ht="21" customHeight="1">
      <c r="A115" s="254" t="s">
        <v>263</v>
      </c>
      <c r="B115" s="347" t="str">
        <f>"    "&amp;IF(Általános!$B$19=Általános!$F$8,GLOBAL!B93,IF(Általános!$B$19=Általános!$F$9,GLOBAL!C93,IF(Általános!$B$19=Általános!$F$10,GLOBAL!D93)))</f>
        <v>    Céltartalék a jövőbeni költségekre</v>
      </c>
      <c r="C115" s="1541">
        <f>'L.E'!I16</f>
        <v>0</v>
      </c>
      <c r="D115" s="1541"/>
      <c r="E115" s="1542">
        <f>'L.E'!J16</f>
        <v>0</v>
      </c>
    </row>
    <row r="116" spans="1:5" s="48" customFormat="1" ht="21" customHeight="1" thickBot="1">
      <c r="A116" s="247" t="s">
        <v>264</v>
      </c>
      <c r="B116" s="347" t="str">
        <f>"    "&amp;IF(Általános!$B$19=Általános!$F$8,GLOBAL!B94,IF(Általános!$B$19=Általános!$F$9,GLOBAL!C94,IF(Általános!$B$19=Általános!$F$10,GLOBAL!D94)))</f>
        <v>    Egyéb céltartalék</v>
      </c>
      <c r="C116" s="1543">
        <f>'L.E'!I21</f>
        <v>0</v>
      </c>
      <c r="D116" s="1543"/>
      <c r="E116" s="1544">
        <f>'L.E'!J21</f>
        <v>0</v>
      </c>
    </row>
    <row r="117" spans="1:5" s="48" customFormat="1" ht="21" customHeight="1" thickBot="1">
      <c r="A117" s="249" t="s">
        <v>265</v>
      </c>
      <c r="B117" s="298" t="str">
        <f>"F. "&amp;IF(Általános!$B$19=Általános!$F$8,GLOBAL!B95&amp;" (67+71+80.sorok)",IF(Általános!$B$19=Általános!$F$9,GLOBAL!C95&amp;" (Lines 67+71+80)",IF(Általános!$B$19=Általános!$F$10,GLOBAL!D95&amp;" (67+71+80. Reihe)")))</f>
        <v>F. Kötelezettségek (67+71+80.sorok)</v>
      </c>
      <c r="C117" s="299">
        <f>C118+C143+C152</f>
        <v>0</v>
      </c>
      <c r="D117" s="299">
        <f>D118+D143+D152</f>
        <v>0</v>
      </c>
      <c r="E117" s="300">
        <f>E118+E143+E152</f>
        <v>0</v>
      </c>
    </row>
    <row r="118" spans="1:5" s="48" customFormat="1" ht="21" customHeight="1">
      <c r="A118" s="233" t="s">
        <v>266</v>
      </c>
      <c r="B118" s="301" t="str">
        <f>"I. "&amp;IF(Általános!$B$19=Általános!$F$8,UPPER(GLOBAL!B96)&amp;" (68-70.sorok)",IF(Általános!$B$19=Általános!$F$9,UPPER(GLOBAL!C96)&amp;" (Lines 68-70)",IF(Általános!$B$19=Általános!$F$10,UPPER(GLOBAL!D96)&amp;" (Reihen 68-70)")))</f>
        <v>I. HÁTRASOROLT KÖTELEZETTSÉGEK (68-70.sorok)</v>
      </c>
      <c r="C118" s="310">
        <f>SUM(C119:C121)</f>
        <v>0</v>
      </c>
      <c r="D118" s="310">
        <f>SUM(D119:D121)</f>
        <v>0</v>
      </c>
      <c r="E118" s="311">
        <f>SUM(E119:E121)</f>
        <v>0</v>
      </c>
    </row>
    <row r="119" spans="1:5" s="48" customFormat="1" ht="21" customHeight="1">
      <c r="A119" s="254" t="s">
        <v>267</v>
      </c>
      <c r="B119" s="255" t="str">
        <f>"    "&amp;IF(Általános!$B$19=Általános!$F$8,GLOBAL!B97,IF(Általános!$B$19=Általános!$F$9,GLOBAL!C97,IF(Általános!$B$19=Általános!$F$10,GLOBAL!D97)))</f>
        <v>    Hátrasorolt kötelezettségek kapcsolt vállalkozással szemben</v>
      </c>
      <c r="C119" s="1541">
        <f>'L.F.I'!I11</f>
        <v>0</v>
      </c>
      <c r="D119" s="1541"/>
      <c r="E119" s="1542">
        <f>'L.E'!J11</f>
        <v>0</v>
      </c>
    </row>
    <row r="120" spans="1:5" s="48" customFormat="1" ht="21" customHeight="1">
      <c r="A120" s="312" t="s">
        <v>268</v>
      </c>
      <c r="B120" s="255" t="str">
        <f>"    "&amp;IF(Általános!$B$19=Általános!$F$8,GLOBAL!B98,IF(Általános!$B$19=Általános!$F$9,GLOBAL!C98,IF(Általános!$B$19=Általános!$F$10,GLOBAL!D98)))</f>
        <v>    Hátrasorolt köt. egyéb részesed. visz-ban lévő vállalk szemb.</v>
      </c>
      <c r="C120" s="1545">
        <f>'L.E'!I16</f>
        <v>0</v>
      </c>
      <c r="D120" s="1545"/>
      <c r="E120" s="1546">
        <f>'L.E'!J16</f>
        <v>0</v>
      </c>
    </row>
    <row r="121" spans="1:5" s="48" customFormat="1" ht="21" customHeight="1" thickBot="1">
      <c r="A121" s="247" t="s">
        <v>122</v>
      </c>
      <c r="B121" s="345" t="str">
        <f>"    "&amp;IF(Általános!$B$19=Általános!$F$8,GLOBAL!B99,IF(Általános!$B$19=Általános!$F$9,GLOBAL!C99,IF(Általános!$B$19=Általános!$F$10,GLOBAL!D99)))</f>
        <v>    Hátrasorolt kötelezettségek egyéb gazdálkodóval szemben</v>
      </c>
      <c r="C121" s="1543">
        <f>'L.E'!I21</f>
        <v>0</v>
      </c>
      <c r="D121" s="1543"/>
      <c r="E121" s="1544">
        <f>'L.E'!J21</f>
        <v>0</v>
      </c>
    </row>
    <row r="123" ht="12.75">
      <c r="A123" s="32"/>
    </row>
    <row r="124" ht="12.75">
      <c r="B124" s="33"/>
    </row>
    <row r="125" spans="2:3" ht="12.75">
      <c r="B125" s="25"/>
      <c r="C125" s="25"/>
    </row>
    <row r="126" ht="12.75">
      <c r="A126" s="4" t="str">
        <f>$A$39</f>
        <v>Keltezés:</v>
      </c>
    </row>
    <row r="127" ht="12.75">
      <c r="B127" s="263" t="str">
        <f>$B$40</f>
        <v>Komárom, 2016.04.29.</v>
      </c>
    </row>
    <row r="128" spans="2:5" ht="12.75">
      <c r="B128" s="126" t="str">
        <f>$B$41</f>
        <v>                    P.H.</v>
      </c>
      <c r="C128" s="24"/>
      <c r="D128" s="24"/>
      <c r="E128" s="24"/>
    </row>
    <row r="129" spans="3:5" ht="12.75">
      <c r="C129" s="28" t="str">
        <f>$C$41</f>
        <v>vállalakozás vezetője</v>
      </c>
      <c r="D129" s="28"/>
      <c r="E129" s="28"/>
    </row>
    <row r="130" spans="3:5" ht="12.75">
      <c r="C130" s="28" t="str">
        <f>$C$42</f>
        <v>(képviselője)</v>
      </c>
      <c r="D130" s="28"/>
      <c r="E130" s="28"/>
    </row>
    <row r="131" spans="1:2" s="97" customFormat="1" ht="15" customHeight="1" thickBot="1">
      <c r="A131" s="95" t="str">
        <f>$A$1</f>
        <v>Statitsztikai számjel: 11183855353011311</v>
      </c>
      <c r="B131" s="96"/>
    </row>
    <row r="132" spans="1:5" s="97" customFormat="1" ht="15" customHeight="1" thickBot="1">
      <c r="A132" s="95" t="str">
        <f>$A$2</f>
        <v>Cégjegyzék szám: 11-09-002700</v>
      </c>
      <c r="B132" s="7"/>
      <c r="E132" s="100">
        <v>14</v>
      </c>
    </row>
    <row r="133" spans="1:2" s="97" customFormat="1" ht="15" customHeight="1">
      <c r="A133" s="95" t="str">
        <f>$A$3</f>
        <v>A vállalkozás megnevezése</v>
      </c>
      <c r="B133" s="96"/>
    </row>
    <row r="134" spans="2:5" s="97" customFormat="1" ht="16.5" customHeight="1">
      <c r="B134" s="105" t="str">
        <f>$B$4</f>
        <v>Komáromi Távhő Kft</v>
      </c>
      <c r="E134" s="101"/>
    </row>
    <row r="135" spans="1:5" s="1" customFormat="1" ht="18" customHeight="1">
      <c r="A135" s="102" t="str">
        <f>$A$5</f>
        <v>MÉRLEG "A" változat</v>
      </c>
      <c r="B135" s="103"/>
      <c r="C135" s="42"/>
      <c r="D135" s="42"/>
      <c r="E135" s="104"/>
    </row>
    <row r="136" spans="1:5" s="1" customFormat="1" ht="18" customHeight="1">
      <c r="A136" s="102" t="str">
        <f>A93</f>
        <v>Források (passzívák)</v>
      </c>
      <c r="B136" s="103"/>
      <c r="C136" s="42"/>
      <c r="D136" s="42"/>
      <c r="E136" s="104"/>
    </row>
    <row r="137" spans="1:5" s="1" customFormat="1" ht="16.5" customHeight="1">
      <c r="A137" s="42" t="str">
        <f>$A$7</f>
        <v>Az üzleti év mérlegfordulónapja: 2016.december 31. Hőszolg.</v>
      </c>
      <c r="B137" s="103"/>
      <c r="C137" s="42"/>
      <c r="D137" s="42"/>
      <c r="E137" s="42"/>
    </row>
    <row r="138" spans="1:5" s="1" customFormat="1" ht="16.5" customHeight="1">
      <c r="A138" s="124" t="str">
        <f>$A$8</f>
        <v>A közzétett adatokat könyvvizsgáló ellenőrizte</v>
      </c>
      <c r="B138" s="103"/>
      <c r="C138" s="42"/>
      <c r="D138" s="42"/>
      <c r="E138" s="42"/>
    </row>
    <row r="140" spans="1:5" ht="13.5" thickBot="1">
      <c r="A140" s="1"/>
      <c r="B140" s="7"/>
      <c r="C140" s="1"/>
      <c r="D140" s="1"/>
      <c r="E140" s="73" t="str">
        <f>$E$9</f>
        <v>Adatok E Ft-ban</v>
      </c>
    </row>
    <row r="141" spans="1:5" s="48" customFormat="1" ht="36.75" customHeight="1">
      <c r="A141" s="130" t="str">
        <f>$A$10</f>
        <v>Sor-szám</v>
      </c>
      <c r="B141" s="131" t="str">
        <f>$B$10</f>
        <v>A tétel megnevezése</v>
      </c>
      <c r="C141" s="224" t="s">
        <v>1525</v>
      </c>
      <c r="D141" s="224" t="str">
        <f>$D$10</f>
        <v>Előző év(ek) módosításai</v>
      </c>
      <c r="E141" s="225" t="str">
        <f>$E$10</f>
        <v>Tárgyév</v>
      </c>
    </row>
    <row r="142" spans="1:5" s="48" customFormat="1" ht="10.5" customHeight="1">
      <c r="A142" s="133" t="s">
        <v>1530</v>
      </c>
      <c r="B142" s="134" t="s">
        <v>1531</v>
      </c>
      <c r="C142" s="297" t="s">
        <v>1532</v>
      </c>
      <c r="D142" s="297" t="s">
        <v>565</v>
      </c>
      <c r="E142" s="136" t="s">
        <v>566</v>
      </c>
    </row>
    <row r="143" spans="1:5" s="48" customFormat="1" ht="21" customHeight="1">
      <c r="A143" s="243" t="s">
        <v>123</v>
      </c>
      <c r="B143" s="303" t="str">
        <f>"II. "&amp;IF(Általános!$B$19=Általános!$F$8,UPPER(GLOBAL!B100)&amp;" (72-79.sorok)",IF(Általános!$B$19=Általános!$F$9,UPPER(GLOBAL!C100)&amp;" (Lines 72-79)",IF(Általános!$B$19=Általános!$F$10,UPPER(GLOBAL!D100)&amp;" (72-79. Reihe)")))</f>
        <v>II. HOSSZÚ LEJÁRATÚ KÖTELEZETTSÉGEK (72-79.sorok)</v>
      </c>
      <c r="C143" s="313">
        <f>SUM(C144:C151)</f>
        <v>0</v>
      </c>
      <c r="D143" s="313">
        <f>SUM(D144:D151)</f>
        <v>0</v>
      </c>
      <c r="E143" s="314">
        <f>SUM(E144:E151)</f>
        <v>0</v>
      </c>
    </row>
    <row r="144" spans="1:5" s="48" customFormat="1" ht="21" customHeight="1">
      <c r="A144" s="254" t="s">
        <v>124</v>
      </c>
      <c r="B144" s="255" t="str">
        <f>"    "&amp;IF(Általános!$B$19=Általános!$F$8,GLOBAL!B101,IF(Általános!$B$19=Általános!$F$9,GLOBAL!C101,IF(Általános!$B$19=Általános!$F$10,GLOBAL!D101)))</f>
        <v>    Hosszú lejáratra kapott kölcsönök</v>
      </c>
      <c r="C144" s="1541">
        <f>'L.F.II'!I11</f>
        <v>0</v>
      </c>
      <c r="D144" s="1541"/>
      <c r="E144" s="1542"/>
    </row>
    <row r="145" spans="1:5" s="48" customFormat="1" ht="21" customHeight="1">
      <c r="A145" s="254" t="s">
        <v>125</v>
      </c>
      <c r="B145" s="255" t="str">
        <f>"    "&amp;IF(Általános!$B$19=Általános!$F$8,GLOBAL!B102,IF(Általános!$B$19=Általános!$F$9,GLOBAL!C102,IF(Általános!$B$19=Általános!$F$10,GLOBAL!D102)))</f>
        <v>    Átváltoztatható kötvények</v>
      </c>
      <c r="C145" s="1541">
        <f>'L.F.II'!I16</f>
        <v>0</v>
      </c>
      <c r="D145" s="1541"/>
      <c r="E145" s="1542">
        <f>'L.F.II'!J16</f>
        <v>0</v>
      </c>
    </row>
    <row r="146" spans="1:5" s="48" customFormat="1" ht="21" customHeight="1">
      <c r="A146" s="254" t="s">
        <v>126</v>
      </c>
      <c r="B146" s="255" t="str">
        <f>"    "&amp;IF(Általános!$B$19=Általános!$F$8,GLOBAL!B103,IF(Általános!$B$19=Általános!$F$9,GLOBAL!C103,IF(Általános!$B$19=Általános!$F$10,GLOBAL!D103)))</f>
        <v>    Tartozások kötvénykibocsátásból</v>
      </c>
      <c r="C146" s="1541">
        <f>'L.F.II'!I21</f>
        <v>0</v>
      </c>
      <c r="D146" s="1541"/>
      <c r="E146" s="1542">
        <f>'L.F.II'!J21</f>
        <v>0</v>
      </c>
    </row>
    <row r="147" spans="1:5" s="48" customFormat="1" ht="21" customHeight="1">
      <c r="A147" s="254" t="s">
        <v>127</v>
      </c>
      <c r="B147" s="255" t="str">
        <f>"    "&amp;IF(Általános!$B$19=Általános!$F$8,GLOBAL!B104,IF(Általános!$B$19=Általános!$F$9,GLOBAL!C104,IF(Általános!$B$19=Általános!$F$10,GLOBAL!D104)))</f>
        <v>    Beruházási és fejlesztési hitelek</v>
      </c>
      <c r="C147" s="1541">
        <f>'L.F.II'!I26</f>
        <v>0</v>
      </c>
      <c r="D147" s="1541"/>
      <c r="E147" s="1542"/>
    </row>
    <row r="148" spans="1:5" s="48" customFormat="1" ht="21" customHeight="1">
      <c r="A148" s="254" t="s">
        <v>128</v>
      </c>
      <c r="B148" s="255" t="str">
        <f>"    "&amp;IF(Általános!$B$19=Általános!$F$8,GLOBAL!B105,IF(Általános!$B$19=Általános!$F$9,GLOBAL!C105,IF(Általános!$B$19=Általános!$F$10,GLOBAL!D105)))</f>
        <v>    Egyéb hosszú lejáratú hitelek</v>
      </c>
      <c r="C148" s="1541"/>
      <c r="D148" s="1541"/>
      <c r="E148" s="1542"/>
    </row>
    <row r="149" spans="1:5" s="48" customFormat="1" ht="21" customHeight="1">
      <c r="A149" s="254" t="s">
        <v>129</v>
      </c>
      <c r="B149" s="255" t="str">
        <f>"    "&amp;IF(Általános!$B$19=Általános!$F$8,GLOBAL!B106,IF(Általános!$B$19=Általános!$F$9,GLOBAL!C106,IF(Általános!$B$19=Általános!$F$10,GLOBAL!D106)))</f>
        <v>    Tartós kötelezettségek kapcsolt vállalkozással szemben</v>
      </c>
      <c r="C149" s="1541">
        <f>'L.F.II'!I36</f>
        <v>0</v>
      </c>
      <c r="D149" s="1541"/>
      <c r="E149" s="1542">
        <f>'L.F.II'!J36</f>
        <v>0</v>
      </c>
    </row>
    <row r="150" spans="1:5" s="48" customFormat="1" ht="21" customHeight="1">
      <c r="A150" s="254" t="s">
        <v>130</v>
      </c>
      <c r="B150" s="255" t="str">
        <f>"    "&amp;IF(Általános!$B$19=Általános!$F$8,GLOBAL!B107,IF(Általános!$B$19=Általános!$F$9,GLOBAL!C107,IF(Általános!$B$19=Általános!$F$10,GLOBAL!D107)))</f>
        <v>    Tartós köt-ek egyéb rész. visz-ban lévő vállalk-al szemben</v>
      </c>
      <c r="C150" s="1541">
        <f>'L.F.II'!I41</f>
        <v>0</v>
      </c>
      <c r="D150" s="1541"/>
      <c r="E150" s="1542">
        <f>'L.F.II'!J41</f>
        <v>0</v>
      </c>
    </row>
    <row r="151" spans="1:5" s="48" customFormat="1" ht="21" customHeight="1">
      <c r="A151" s="236" t="s">
        <v>131</v>
      </c>
      <c r="B151" s="255" t="str">
        <f>"    "&amp;IF(Általános!$B$19=Általános!$F$8,GLOBAL!B108,IF(Általános!$B$19=Általános!$F$9,GLOBAL!C108,IF(Általános!$B$19=Általános!$F$10,GLOBAL!D108)))</f>
        <v>    Egyéb hosszú lejáratú kötelezettségek</v>
      </c>
      <c r="C151" s="1547">
        <f>'L.F.II'!I46</f>
        <v>0</v>
      </c>
      <c r="D151" s="1547"/>
      <c r="E151" s="1548">
        <f>'L.F.II'!J46</f>
        <v>0</v>
      </c>
    </row>
    <row r="152" spans="1:5" s="48" customFormat="1" ht="21" customHeight="1">
      <c r="A152" s="243" t="s">
        <v>132</v>
      </c>
      <c r="B152" s="303" t="str">
        <f>"III. "&amp;IF(Általános!$B$19=Általános!$F$8,UPPER(GLOBAL!B109)&amp;" (81-89.sorok)",IF(Általános!$B$19=Általános!$F$9,UPPER(GLOBAL!C109)&amp;" (Lines 81-89)",IF(Általános!$B$19=Általános!$F$10,UPPER(GLOBAL!D109)&amp;" (81-89. Reihe)")))</f>
        <v>III. RÖVID LEJÁRATÚ KÖTELEZETTSÉGEK (81-89.sorok)</v>
      </c>
      <c r="C152" s="313">
        <f>C153+SUM(C155:C161)</f>
        <v>0</v>
      </c>
      <c r="D152" s="313">
        <f>D153+SUM(D155:D161)</f>
        <v>0</v>
      </c>
      <c r="E152" s="314">
        <f>E153+SUM(E155:E161)</f>
        <v>0</v>
      </c>
    </row>
    <row r="153" spans="1:5" s="48" customFormat="1" ht="21" customHeight="1">
      <c r="A153" s="254" t="s">
        <v>133</v>
      </c>
      <c r="B153" s="255" t="str">
        <f>"    "&amp;IF(Általános!$B$19=Általános!$F$8,GLOBAL!B110,IF(Általános!$B$19=Általános!$F$9,GLOBAL!C110,IF(Általános!$B$19=Általános!$F$10,GLOBAL!D110)))</f>
        <v>    Rövid lejáratú kölcsönök</v>
      </c>
      <c r="C153" s="1541">
        <f>'L.F.III'!I11</f>
        <v>0</v>
      </c>
      <c r="D153" s="1541"/>
      <c r="E153" s="1542"/>
    </row>
    <row r="154" spans="1:5" s="48" customFormat="1" ht="21" customHeight="1">
      <c r="A154" s="254" t="s">
        <v>134</v>
      </c>
      <c r="B154" s="255" t="str">
        <f>IF(Általános!$B$19=Általános!$F$8,GLOBAL!B111,IF(Általános!$B$19=Általános!$F$9,GLOBAL!C111,IF(Általános!$B$19=Általános!$F$10,GLOBAL!D111)))</f>
        <v>     81.sorból: az átváltoztatható kötvények</v>
      </c>
      <c r="C154" s="308"/>
      <c r="D154" s="308"/>
      <c r="E154" s="309"/>
    </row>
    <row r="155" spans="1:5" s="48" customFormat="1" ht="21" customHeight="1">
      <c r="A155" s="254" t="s">
        <v>136</v>
      </c>
      <c r="B155" s="255" t="str">
        <f>"    "&amp;IF(Általános!$B$19=Általános!$F$8,GLOBAL!B112,IF(Általános!$B$19=Általános!$F$9,GLOBAL!C112,IF(Általános!$B$19=Általános!$F$10,GLOBAL!D112)))</f>
        <v>    Rövid lejáratú hitelek</v>
      </c>
      <c r="C155" s="1542"/>
      <c r="D155" s="1541"/>
      <c r="E155" s="1542"/>
    </row>
    <row r="156" spans="1:5" s="48" customFormat="1" ht="21" customHeight="1">
      <c r="A156" s="254" t="s">
        <v>137</v>
      </c>
      <c r="B156" s="255" t="str">
        <f>"    "&amp;IF(Általános!$B$19=Általános!$F$8,GLOBAL!B113,IF(Általános!$B$19=Általános!$F$9,GLOBAL!C113,IF(Általános!$B$19=Általános!$F$10,GLOBAL!D113)))</f>
        <v>    Vevőktől kapott előlegek</v>
      </c>
      <c r="C156" s="1542"/>
      <c r="D156" s="1541"/>
      <c r="E156" s="1542"/>
    </row>
    <row r="157" spans="1:5" s="48" customFormat="1" ht="21" customHeight="1">
      <c r="A157" s="254" t="s">
        <v>138</v>
      </c>
      <c r="B157" s="255" t="str">
        <f>"    "&amp;IF(Általános!$B$19=Általános!$F$8,GLOBAL!B114,IF(Általános!$B$19=Általános!$F$9,GLOBAL!C114,IF(Általános!$B$19=Általános!$F$10,GLOBAL!D114)))</f>
        <v>    Kötelezettségek áruszállításból és szolgáltatásból (szállítók)</v>
      </c>
      <c r="C157" s="1542"/>
      <c r="D157" s="1541"/>
      <c r="E157" s="1542"/>
    </row>
    <row r="158" spans="1:5" s="48" customFormat="1" ht="21" customHeight="1">
      <c r="A158" s="254" t="s">
        <v>139</v>
      </c>
      <c r="B158" s="255" t="str">
        <f>"    "&amp;IF(Általános!$B$19=Általános!$F$8,GLOBAL!B115,IF(Általános!$B$19=Általános!$F$9,GLOBAL!C115,IF(Általános!$B$19=Általános!$F$10,GLOBAL!D115)))</f>
        <v>    Váltótartozások</v>
      </c>
      <c r="C158" s="1542"/>
      <c r="D158" s="1541"/>
      <c r="E158" s="1542"/>
    </row>
    <row r="159" spans="1:5" s="48" customFormat="1" ht="21" customHeight="1">
      <c r="A159" s="254" t="s">
        <v>140</v>
      </c>
      <c r="B159" s="255" t="str">
        <f>"    "&amp;IF(Általános!$B$19=Általános!$F$8,GLOBAL!B116,IF(Általános!$B$19=Általános!$F$9,GLOBAL!C116,IF(Általános!$B$19=Általános!$F$10,GLOBAL!D116)))</f>
        <v>    Rövid lejáratú köt-ek kapcsolt vállalkozással szemben</v>
      </c>
      <c r="C159" s="1542"/>
      <c r="D159" s="1541"/>
      <c r="E159" s="1542"/>
    </row>
    <row r="160" spans="1:5" s="48" customFormat="1" ht="21" customHeight="1">
      <c r="A160" s="254" t="s">
        <v>141</v>
      </c>
      <c r="B160" s="255" t="str">
        <f>"    "&amp;IF(Általános!$B$19=Általános!$F$8,GLOBAL!B117,IF(Általános!$B$19=Általános!$F$9,GLOBAL!C117,IF(Általános!$B$19=Általános!$F$10,GLOBAL!D117)))</f>
        <v>    Rövid lejáratú köt-ek egyéb rész. visz-ban lévő váll. szemben</v>
      </c>
      <c r="C160" s="1542"/>
      <c r="D160" s="1541"/>
      <c r="E160" s="1542"/>
    </row>
    <row r="161" spans="1:5" s="48" customFormat="1" ht="21" customHeight="1" thickBot="1">
      <c r="A161" s="229" t="s">
        <v>142</v>
      </c>
      <c r="B161" s="255" t="str">
        <f>"    "&amp;IF(Általános!$B$19=Általános!$F$8,GLOBAL!B118,IF(Általános!$B$19=Általános!$F$9,GLOBAL!C118,IF(Általános!$B$19=Általános!$F$10,GLOBAL!D118)))</f>
        <v>    Egyéb rövid lejáratú kötelezettségek</v>
      </c>
      <c r="C161" s="1550"/>
      <c r="D161" s="1549"/>
      <c r="E161" s="1550"/>
    </row>
    <row r="162" spans="1:5" s="48" customFormat="1" ht="21" customHeight="1" thickBot="1">
      <c r="A162" s="249" t="s">
        <v>143</v>
      </c>
      <c r="B162" s="290" t="str">
        <f>"G. "&amp;IF(Általános!$B$19=Általános!$F$8,GLOBAL!B119&amp;" (91-93.sorok)",IF(Általános!$B$19=Általános!$F$9,GLOBAL!C119&amp;" (Lines 91-93)",IF(Általános!$B$19=Általános!$F$10,GLOBAL!D119&amp;" ( 91-93. Reihe)")))</f>
        <v>G. Passzív időbeli elhatárolások (91-93.sorok)</v>
      </c>
      <c r="C162" s="299">
        <f>SUM(C163:C165)</f>
        <v>0</v>
      </c>
      <c r="D162" s="299">
        <f>SUM(D163:D165)</f>
        <v>0</v>
      </c>
      <c r="E162" s="300">
        <f>SUM(E163:E165)</f>
        <v>0</v>
      </c>
    </row>
    <row r="163" spans="1:5" s="48" customFormat="1" ht="21" customHeight="1">
      <c r="A163" s="343" t="s">
        <v>150</v>
      </c>
      <c r="B163" s="350" t="str">
        <f>"    "&amp;IF(Általános!$B$19=Általános!$F$8,GLOBAL!B120,IF(Általános!$B$19=Általános!$F$9,GLOBAL!C120,IF(Általános!$B$19=Általános!$F$10,GLOBAL!D120)))</f>
        <v>    Bevételek passzív elhatárolása</v>
      </c>
      <c r="C163" s="1551"/>
      <c r="D163" s="1551"/>
      <c r="E163" s="1552"/>
    </row>
    <row r="164" spans="1:5" s="48" customFormat="1" ht="21" customHeight="1">
      <c r="A164" s="254" t="s">
        <v>151</v>
      </c>
      <c r="B164" s="237" t="str">
        <f>"    "&amp;IF(Általános!$B$19=Általános!$F$8,GLOBAL!B121,IF(Általános!$B$19=Általános!$F$9,GLOBAL!C121,IF(Általános!$B$19=Általános!$F$10,GLOBAL!D121)))</f>
        <v>    Költségek, ráfordítások passzív időbeli elhatárolása</v>
      </c>
      <c r="C164" s="1541"/>
      <c r="D164" s="1541"/>
      <c r="E164" s="1542"/>
    </row>
    <row r="165" spans="1:5" s="48" customFormat="1" ht="21" customHeight="1" thickBot="1">
      <c r="A165" s="247" t="s">
        <v>152</v>
      </c>
      <c r="B165" s="322" t="str">
        <f>"    "&amp;IF(Általános!$B$19=Általános!$F$8,GLOBAL!B122,IF(Általános!$B$19=Általános!$F$9,GLOBAL!C122,IF(Általános!$B$19=Általános!$F$10,GLOBAL!D122)))</f>
        <v>    Halasztott bevételek</v>
      </c>
      <c r="C165" s="1543"/>
      <c r="D165" s="1543"/>
      <c r="E165" s="1544"/>
    </row>
    <row r="166" spans="1:5" s="39" customFormat="1" ht="10.5" customHeight="1" thickBot="1">
      <c r="A166" s="50"/>
      <c r="B166" s="41"/>
      <c r="C166" s="185"/>
      <c r="D166" s="185"/>
      <c r="E166" s="185"/>
    </row>
    <row r="167" spans="1:5" s="48" customFormat="1" ht="18" customHeight="1" thickBot="1">
      <c r="A167" s="49" t="s">
        <v>153</v>
      </c>
      <c r="B167" s="52" t="str">
        <f>IF(Általános!$B$19=Általános!$F$8,GLOBAL!B123&amp;" (53+62+66+90.sor)",IF(Általános!$B$19=Általános!$F$9,GLOBAL!C123&amp;" (Lines 53+62+66+90)",IF(Általános!$B$19=Általános!$F$10,GLOBAL!D123&amp;" ( 53+62+66+90. Reihe)")))</f>
        <v>FORRÁSOK (PASSZÍVÁK) ÖSSZESEN (53+62+66+90.sor)</v>
      </c>
      <c r="C167" s="184">
        <f>C104+C113+C117+C162</f>
        <v>0</v>
      </c>
      <c r="D167" s="184">
        <f>D104+D113+D117+D162</f>
        <v>0</v>
      </c>
      <c r="E167" s="184">
        <f>E104+E113+E117+E162</f>
        <v>0</v>
      </c>
    </row>
    <row r="168" spans="1:5" s="48" customFormat="1" ht="18" customHeight="1">
      <c r="A168" s="50"/>
      <c r="B168" s="57"/>
      <c r="C168" s="51"/>
      <c r="D168" s="51"/>
      <c r="E168" s="51"/>
    </row>
    <row r="169" ht="12.75">
      <c r="A169" s="4" t="str">
        <f>$A$39</f>
        <v>Keltezés:</v>
      </c>
    </row>
    <row r="170" ht="12.75">
      <c r="B170" s="263" t="str">
        <f>$B$40</f>
        <v>Komárom, 2016.04.29.</v>
      </c>
    </row>
    <row r="171" spans="2:5" ht="12.75">
      <c r="B171" s="126" t="str">
        <f>$B$41</f>
        <v>                    P.H.</v>
      </c>
      <c r="C171" s="24"/>
      <c r="D171" s="24"/>
      <c r="E171" s="24"/>
    </row>
    <row r="172" spans="3:5" ht="12.75">
      <c r="C172" s="28" t="str">
        <f>$C$41</f>
        <v>vállalakozás vezetője</v>
      </c>
      <c r="D172" s="28"/>
      <c r="E172" s="28"/>
    </row>
    <row r="173" spans="3:5" ht="12.75">
      <c r="C173" s="28" t="str">
        <f>$C$42</f>
        <v>(képviselője)</v>
      </c>
      <c r="D173" s="28"/>
      <c r="E173" s="28"/>
    </row>
  </sheetData>
  <sheetProtection/>
  <printOptions horizontalCentered="1"/>
  <pageMargins left="0.3937007874015748" right="0.3937007874015748" top="0.3937007874015748" bottom="0.38" header="0" footer="0.58"/>
  <pageSetup horizontalDpi="300" verticalDpi="300" orientation="portrait" paperSize="9" scale="99" r:id="rId2"/>
  <rowBreaks count="3" manualBreakCount="3">
    <brk id="42" max="4" man="1"/>
    <brk id="87" max="4" man="1"/>
    <brk id="130" max="255" man="1"/>
  </rowBreaks>
  <drawing r:id="rId1"/>
</worksheet>
</file>

<file path=xl/worksheets/sheet40.xml><?xml version="1.0" encoding="utf-8"?>
<worksheet xmlns="http://schemas.openxmlformats.org/spreadsheetml/2006/main" xmlns:r="http://schemas.openxmlformats.org/officeDocument/2006/relationships">
  <sheetPr codeName="Munka44">
    <tabColor indexed="11"/>
  </sheetPr>
  <dimension ref="A1:G28"/>
  <sheetViews>
    <sheetView workbookViewId="0" topLeftCell="A1">
      <selection activeCell="K15" sqref="K15"/>
    </sheetView>
  </sheetViews>
  <sheetFormatPr defaultColWidth="9.00390625" defaultRowHeight="12.75"/>
  <cols>
    <col min="1" max="1" width="59.625" style="388" customWidth="1"/>
    <col min="2" max="7" width="12.75390625" style="388" customWidth="1"/>
    <col min="8" max="16384" width="9.125" style="388" customWidth="1"/>
  </cols>
  <sheetData>
    <row r="1" spans="1:7" s="372" customFormat="1" ht="12.75">
      <c r="A1" s="387" t="str">
        <f>'III.A.I-II'!A1</f>
        <v>Komáromi Távhő Kft</v>
      </c>
      <c r="G1" s="389" t="str">
        <f>'I.A.1'!R1</f>
        <v>Kiegészítő melléklet 2016. december 31.Hőszolgáltatás </v>
      </c>
    </row>
    <row r="2" spans="1:7" s="372" customFormat="1" ht="12.75">
      <c r="A2" s="387"/>
      <c r="G2" s="389" t="str">
        <f>'III.A.I-II'!R2</f>
        <v>III. Mérleghez és eredménykimutatáshoz kapcsolódó kiegészítések</v>
      </c>
    </row>
    <row r="3" spans="1:7" s="688" customFormat="1" ht="14.25" customHeight="1">
      <c r="A3" s="411" t="str">
        <f>'I.A.1'!A3</f>
        <v>A közzétett adatokat könyvvizsgáló ellenőrizte</v>
      </c>
      <c r="B3" s="411"/>
      <c r="C3" s="411"/>
      <c r="D3" s="411"/>
      <c r="E3" s="531"/>
      <c r="F3" s="531"/>
      <c r="G3" s="531"/>
    </row>
    <row r="4" s="688" customFormat="1" ht="14.25" customHeight="1">
      <c r="A4" s="747"/>
    </row>
    <row r="5" spans="1:7" s="688" customFormat="1" ht="14.25" customHeight="1">
      <c r="A5" s="843" t="str">
        <f>'III.H.I'!A6</f>
        <v>III.H. Eredménykimutatás</v>
      </c>
      <c r="B5" s="531"/>
      <c r="C5" s="531"/>
      <c r="D5" s="531"/>
      <c r="E5" s="531"/>
      <c r="F5" s="531"/>
      <c r="G5" s="531"/>
    </row>
    <row r="6" s="688" customFormat="1" ht="14.25" customHeight="1">
      <c r="A6" s="747"/>
    </row>
    <row r="7" spans="1:7" s="628" customFormat="1" ht="16.5">
      <c r="A7" s="840" t="s">
        <v>467</v>
      </c>
      <c r="B7" s="571"/>
      <c r="C7" s="571"/>
      <c r="D7" s="571"/>
      <c r="E7" s="393"/>
      <c r="F7" s="393"/>
      <c r="G7" s="393"/>
    </row>
    <row r="8" ht="13.5" thickBot="1">
      <c r="G8" s="1604" t="str">
        <f>'III.A.I-II'!R10</f>
        <v>Adatok E Ft-ban</v>
      </c>
    </row>
    <row r="9" spans="1:7" s="769" customFormat="1" ht="18" customHeight="1">
      <c r="A9" s="2403" t="s">
        <v>494</v>
      </c>
      <c r="B9" s="2400" t="s">
        <v>42</v>
      </c>
      <c r="C9" s="2401"/>
      <c r="D9" s="2401"/>
      <c r="E9" s="2401"/>
      <c r="F9" s="2401"/>
      <c r="G9" s="2402"/>
    </row>
    <row r="10" spans="1:7" s="769" customFormat="1" ht="18" customHeight="1">
      <c r="A10" s="2404"/>
      <c r="B10" s="1442" t="s">
        <v>603</v>
      </c>
      <c r="C10" s="1025" t="s">
        <v>1048</v>
      </c>
      <c r="D10" s="1025" t="s">
        <v>1049</v>
      </c>
      <c r="E10" s="1025" t="s">
        <v>1050</v>
      </c>
      <c r="F10" s="1025" t="s">
        <v>1045</v>
      </c>
      <c r="G10" s="1437" t="s">
        <v>922</v>
      </c>
    </row>
    <row r="11" spans="1:7" s="778" customFormat="1" ht="18" customHeight="1">
      <c r="A11" s="1443" t="s">
        <v>209</v>
      </c>
      <c r="B11" s="1026">
        <f>'L.A.III'!H11/1000</f>
        <v>0</v>
      </c>
      <c r="C11" s="1019">
        <f>'L.A.III'!I11/1000</f>
        <v>0</v>
      </c>
      <c r="D11" s="1019">
        <f>'L.A.III'!J11/1000</f>
        <v>0</v>
      </c>
      <c r="E11" s="1019">
        <f>'L.A.III'!K11/1000</f>
        <v>0</v>
      </c>
      <c r="F11" s="1019">
        <f>'L.A.III'!L11/1000</f>
        <v>0</v>
      </c>
      <c r="G11" s="1438">
        <f aca="true" t="shared" si="0" ref="G11:G16">SUM(B11:F11)</f>
        <v>0</v>
      </c>
    </row>
    <row r="12" spans="1:7" s="778" customFormat="1" ht="18" customHeight="1">
      <c r="A12" s="1444" t="s">
        <v>404</v>
      </c>
      <c r="B12" s="1026">
        <f>'L.A.III'!H16/1000</f>
        <v>0</v>
      </c>
      <c r="C12" s="1019">
        <f>'L.A.III'!I16/1000</f>
        <v>0</v>
      </c>
      <c r="D12" s="1019">
        <f>'L.A.III'!J16/1000</f>
        <v>0</v>
      </c>
      <c r="E12" s="1019">
        <f>'L.A.III'!K16/1000</f>
        <v>0</v>
      </c>
      <c r="F12" s="1019">
        <f>'L.A.III'!L16/1000</f>
        <v>0</v>
      </c>
      <c r="G12" s="1438">
        <f t="shared" si="0"/>
        <v>0</v>
      </c>
    </row>
    <row r="13" spans="1:7" s="778" customFormat="1" ht="18" customHeight="1">
      <c r="A13" s="1444" t="s">
        <v>210</v>
      </c>
      <c r="B13" s="1026">
        <f>'L.A.III'!H21/1000</f>
        <v>0</v>
      </c>
      <c r="C13" s="1019">
        <f>'L.A.III'!I21/1000</f>
        <v>0</v>
      </c>
      <c r="D13" s="1019">
        <f>'L.A.III'!J21/1000</f>
        <v>0</v>
      </c>
      <c r="E13" s="1019">
        <f>'L.A.III'!K21/1000</f>
        <v>0</v>
      </c>
      <c r="F13" s="1019">
        <f>'L.A.III'!L21/1000</f>
        <v>0</v>
      </c>
      <c r="G13" s="1438">
        <f t="shared" si="0"/>
        <v>0</v>
      </c>
    </row>
    <row r="14" spans="1:7" s="778" customFormat="1" ht="18" customHeight="1">
      <c r="A14" s="1444" t="s">
        <v>1051</v>
      </c>
      <c r="B14" s="1026">
        <f>'L.A.III'!H26/1000</f>
        <v>0</v>
      </c>
      <c r="C14" s="1019">
        <f>'L.A.III'!I26/1000</f>
        <v>0</v>
      </c>
      <c r="D14" s="1019">
        <f>'L.A.III'!J26/1000</f>
        <v>0</v>
      </c>
      <c r="E14" s="1019">
        <f>'L.A.III'!K26/1000</f>
        <v>0</v>
      </c>
      <c r="F14" s="1019">
        <f>'L.A.III'!L26/1000</f>
        <v>0</v>
      </c>
      <c r="G14" s="1438">
        <f t="shared" si="0"/>
        <v>0</v>
      </c>
    </row>
    <row r="15" spans="1:7" s="778" customFormat="1" ht="18" customHeight="1">
      <c r="A15" s="1444" t="s">
        <v>1052</v>
      </c>
      <c r="B15" s="1026">
        <f>'L.A.III'!H31/1000</f>
        <v>0</v>
      </c>
      <c r="C15" s="1019">
        <f>'L.A.III'!I31/1000</f>
        <v>0</v>
      </c>
      <c r="D15" s="1019">
        <f>'L.A.III'!J31/1000</f>
        <v>0</v>
      </c>
      <c r="E15" s="1019">
        <f>'L.A.III'!K31/1000</f>
        <v>0</v>
      </c>
      <c r="F15" s="1019">
        <f>'L.A.III'!L31/1000</f>
        <v>0</v>
      </c>
      <c r="G15" s="1438">
        <f t="shared" si="0"/>
        <v>0</v>
      </c>
    </row>
    <row r="16" spans="1:7" s="778" customFormat="1" ht="18" customHeight="1">
      <c r="A16" s="1444" t="s">
        <v>212</v>
      </c>
      <c r="B16" s="1026">
        <f>'L.A.III'!H36/1000</f>
        <v>0</v>
      </c>
      <c r="C16" s="1019">
        <f>'L.A.III'!I36/1000</f>
        <v>0</v>
      </c>
      <c r="D16" s="1019">
        <f>'L.A.III'!J36/1000</f>
        <v>0</v>
      </c>
      <c r="E16" s="1019">
        <f>'L.A.III'!K36/1000</f>
        <v>0</v>
      </c>
      <c r="F16" s="1019">
        <f>'L.A.III'!L36/1000</f>
        <v>0</v>
      </c>
      <c r="G16" s="1438">
        <f t="shared" si="0"/>
        <v>0</v>
      </c>
    </row>
    <row r="17" spans="1:7" s="778" customFormat="1" ht="18" customHeight="1">
      <c r="A17" s="1445" t="s">
        <v>213</v>
      </c>
      <c r="B17" s="1026">
        <f>'L.B.I'!D11/1000</f>
        <v>0</v>
      </c>
      <c r="C17" s="1019">
        <f>'L.B.I'!F11/1000</f>
        <v>0</v>
      </c>
      <c r="D17" s="1019">
        <f>'L.B.I'!G11/1000</f>
        <v>0</v>
      </c>
      <c r="E17" s="1019">
        <f>'L.B.I'!H11/1000</f>
        <v>0</v>
      </c>
      <c r="F17" s="1019">
        <f>'L.B.I'!I11/1000</f>
        <v>0</v>
      </c>
      <c r="G17" s="1438">
        <f aca="true" t="shared" si="1" ref="G17:G22">SUM(B17:F17)</f>
        <v>0</v>
      </c>
    </row>
    <row r="18" spans="1:7" s="778" customFormat="1" ht="18" customHeight="1">
      <c r="A18" s="1446" t="s">
        <v>214</v>
      </c>
      <c r="B18" s="1026">
        <f>'L.B.I'!D16/1000</f>
        <v>0</v>
      </c>
      <c r="C18" s="1019">
        <f>'L.B.I'!F16/1000</f>
        <v>0</v>
      </c>
      <c r="D18" s="1019">
        <f>'L.B.I'!G16/1000</f>
        <v>0</v>
      </c>
      <c r="E18" s="1019">
        <f>'L.B.I'!H16/1000</f>
        <v>0</v>
      </c>
      <c r="F18" s="1019">
        <f>'L.B.I'!I16/1000</f>
        <v>0</v>
      </c>
      <c r="G18" s="1438">
        <f t="shared" si="1"/>
        <v>0</v>
      </c>
    </row>
    <row r="19" spans="1:7" s="778" customFormat="1" ht="18" customHeight="1">
      <c r="A19" s="1446" t="s">
        <v>1043</v>
      </c>
      <c r="B19" s="1026">
        <f>'L.B.I'!D21/1000</f>
        <v>0</v>
      </c>
      <c r="C19" s="1019">
        <f>'L.B.I'!F21/1000</f>
        <v>0</v>
      </c>
      <c r="D19" s="1019">
        <f>'L.B.I'!G21/1000</f>
        <v>0</v>
      </c>
      <c r="E19" s="1019">
        <f>'L.B.I'!H21/1000</f>
        <v>0</v>
      </c>
      <c r="F19" s="1019">
        <f>'L.B.I'!I21/1000</f>
        <v>0</v>
      </c>
      <c r="G19" s="1438">
        <f t="shared" si="1"/>
        <v>0</v>
      </c>
    </row>
    <row r="20" spans="1:7" s="778" customFormat="1" ht="18" customHeight="1">
      <c r="A20" s="1446" t="s">
        <v>218</v>
      </c>
      <c r="B20" s="1026">
        <f>'L.B.I'!D26/1000</f>
        <v>0</v>
      </c>
      <c r="C20" s="1019">
        <f>'L.B.I'!F26/1000</f>
        <v>0</v>
      </c>
      <c r="D20" s="1019">
        <f>'L.B.I'!G26/1000</f>
        <v>0</v>
      </c>
      <c r="E20" s="1019">
        <f>'L.B.I'!H26/1000</f>
        <v>0</v>
      </c>
      <c r="F20" s="1019">
        <f>'L.B.I'!I26/1000</f>
        <v>0</v>
      </c>
      <c r="G20" s="1438">
        <f t="shared" si="1"/>
        <v>0</v>
      </c>
    </row>
    <row r="21" spans="1:7" s="778" customFormat="1" ht="18" customHeight="1">
      <c r="A21" s="1446" t="s">
        <v>219</v>
      </c>
      <c r="B21" s="1026">
        <f>'L.B.I'!D31/1000</f>
        <v>0</v>
      </c>
      <c r="C21" s="1019">
        <f>'L.B.I'!F31/1000</f>
        <v>0</v>
      </c>
      <c r="D21" s="1019">
        <f>'L.B.I'!G31/1000</f>
        <v>0</v>
      </c>
      <c r="E21" s="1019">
        <f>'L.B.I'!H31/1000</f>
        <v>0</v>
      </c>
      <c r="F21" s="1019">
        <f>'L.B.I'!I31/1000</f>
        <v>0</v>
      </c>
      <c r="G21" s="1438">
        <f t="shared" si="1"/>
        <v>0</v>
      </c>
    </row>
    <row r="22" spans="1:7" s="778" customFormat="1" ht="18" customHeight="1">
      <c r="A22" s="1446" t="s">
        <v>220</v>
      </c>
      <c r="B22" s="1026">
        <f>'L.B.I'!D36/1000</f>
        <v>0</v>
      </c>
      <c r="C22" s="1019">
        <f>'L.B.I'!F36/1000</f>
        <v>0</v>
      </c>
      <c r="D22" s="1019">
        <f>'L.B.I'!G36/1000</f>
        <v>0</v>
      </c>
      <c r="E22" s="1019">
        <f>'L.B.I'!H36/1000</f>
        <v>0</v>
      </c>
      <c r="F22" s="1019">
        <f>'L.B.I'!I36/1000</f>
        <v>0</v>
      </c>
      <c r="G22" s="1438">
        <f t="shared" si="1"/>
        <v>0</v>
      </c>
    </row>
    <row r="23" spans="1:7" s="778" customFormat="1" ht="18" customHeight="1">
      <c r="A23" s="1447" t="s">
        <v>508</v>
      </c>
      <c r="B23" s="1026">
        <f>'L.B.II'!D11/1000</f>
        <v>0</v>
      </c>
      <c r="C23" s="1019">
        <f>'L.B.II'!F11/1000</f>
        <v>0</v>
      </c>
      <c r="D23" s="1019">
        <f>'L.B.II'!G11/1000</f>
        <v>0</v>
      </c>
      <c r="E23" s="1019">
        <f>'L.B.II'!H11/1000</f>
        <v>0</v>
      </c>
      <c r="F23" s="1019">
        <f>'L.B.II'!I11/1000</f>
        <v>0</v>
      </c>
      <c r="G23" s="1438">
        <f aca="true" t="shared" si="2" ref="G23:G28">SUM(B23:F23)</f>
        <v>0</v>
      </c>
    </row>
    <row r="24" spans="1:7" s="778" customFormat="1" ht="18" customHeight="1">
      <c r="A24" s="1447" t="s">
        <v>1305</v>
      </c>
      <c r="B24" s="1026">
        <f>'L.B.II'!D17/1000</f>
        <v>0</v>
      </c>
      <c r="C24" s="1019">
        <f>'L.B.II'!F17/1000</f>
        <v>0</v>
      </c>
      <c r="D24" s="1019">
        <f>'L.B.II'!G17/1000</f>
        <v>0</v>
      </c>
      <c r="E24" s="1019">
        <f>'L.B.II'!H17/1000</f>
        <v>0</v>
      </c>
      <c r="F24" s="1019">
        <f>'L.B.II'!I17/1000</f>
        <v>0</v>
      </c>
      <c r="G24" s="1438">
        <f t="shared" si="2"/>
        <v>0</v>
      </c>
    </row>
    <row r="25" spans="1:7" s="778" customFormat="1" ht="18" customHeight="1">
      <c r="A25" s="1444" t="s">
        <v>1586</v>
      </c>
      <c r="B25" s="1026">
        <f>'L.B.II'!D24/1000</f>
        <v>0</v>
      </c>
      <c r="C25" s="1019">
        <f>'L.B.II'!F24/1000</f>
        <v>0</v>
      </c>
      <c r="D25" s="1019">
        <f>'L.B.II'!G24/1000</f>
        <v>0</v>
      </c>
      <c r="E25" s="1019">
        <f>'L.B.II'!H24/1000</f>
        <v>0</v>
      </c>
      <c r="F25" s="1019">
        <f>'L.B.II'!I24/1000</f>
        <v>0</v>
      </c>
      <c r="G25" s="1438">
        <f t="shared" si="2"/>
        <v>0</v>
      </c>
    </row>
    <row r="26" spans="1:7" ht="18" customHeight="1">
      <c r="A26" s="1444" t="s">
        <v>221</v>
      </c>
      <c r="B26" s="1026">
        <f>'L.B.II'!D29/1000</f>
        <v>0</v>
      </c>
      <c r="C26" s="1019">
        <f>'L.B.II'!F29/1000</f>
        <v>0</v>
      </c>
      <c r="D26" s="1019">
        <f>'L.B.II'!G29/1000</f>
        <v>0</v>
      </c>
      <c r="E26" s="1019">
        <f>'L.B.II'!H29/1000</f>
        <v>0</v>
      </c>
      <c r="F26" s="1019">
        <f>'L.B.II'!I29/1000</f>
        <v>0</v>
      </c>
      <c r="G26" s="1438">
        <f t="shared" si="2"/>
        <v>0</v>
      </c>
    </row>
    <row r="27" spans="1:7" ht="18" customHeight="1">
      <c r="A27" s="1444" t="s">
        <v>222</v>
      </c>
      <c r="B27" s="1026">
        <f>'L.B.II'!D34/1000</f>
        <v>0</v>
      </c>
      <c r="C27" s="1019">
        <f>'L.B.II'!F34/1000</f>
        <v>0</v>
      </c>
      <c r="D27" s="1019">
        <f>'L.B.II'!G34/1000</f>
        <v>0</v>
      </c>
      <c r="E27" s="1019">
        <f>'L.B.II'!H34/1000</f>
        <v>0</v>
      </c>
      <c r="F27" s="1019">
        <f>'L.B.II'!I34/1000</f>
        <v>0</v>
      </c>
      <c r="G27" s="1438">
        <f t="shared" si="2"/>
        <v>0</v>
      </c>
    </row>
    <row r="28" spans="1:7" ht="18" customHeight="1" thickBot="1">
      <c r="A28" s="1448" t="s">
        <v>58</v>
      </c>
      <c r="B28" s="1439">
        <f>'L.C'!E11/1000</f>
        <v>0</v>
      </c>
      <c r="C28" s="1440">
        <f>'L.C'!F11/1000</f>
        <v>0</v>
      </c>
      <c r="D28" s="1440">
        <f>'L.C'!G11/1000</f>
        <v>0</v>
      </c>
      <c r="E28" s="1440">
        <f>'L.C'!H11/1000</f>
        <v>0</v>
      </c>
      <c r="F28" s="1440">
        <f>'L.C'!I11/1000</f>
        <v>0</v>
      </c>
      <c r="G28" s="1441">
        <f t="shared" si="2"/>
        <v>0</v>
      </c>
    </row>
    <row r="34" ht="12.75"/>
    <row r="35" ht="12.75"/>
  </sheetData>
  <mergeCells count="2">
    <mergeCell ref="B9:G9"/>
    <mergeCell ref="A9:A10"/>
  </mergeCells>
  <printOptions horizontalCentered="1"/>
  <pageMargins left="0.5905511811023623" right="0.5905511811023623" top="0.5905511811023623" bottom="0.5905511811023623" header="0.3937007874015748" footer="0.3937007874015748"/>
  <pageSetup horizontalDpi="600" verticalDpi="600" orientation="landscape" paperSize="9" scale="99" r:id="rId3"/>
  <headerFooter alignWithMargins="0">
    <oddFooter>&amp;C&amp;P/&amp;N&amp;R&amp;A</oddFooter>
  </headerFooter>
  <legacyDrawing r:id="rId2"/>
</worksheet>
</file>

<file path=xl/worksheets/sheet41.xml><?xml version="1.0" encoding="utf-8"?>
<worksheet xmlns="http://schemas.openxmlformats.org/spreadsheetml/2006/main" xmlns:r="http://schemas.openxmlformats.org/officeDocument/2006/relationships">
  <sheetPr codeName="Munka31">
    <tabColor indexed="11"/>
  </sheetPr>
  <dimension ref="A1:H37"/>
  <sheetViews>
    <sheetView workbookViewId="0" topLeftCell="A1">
      <selection activeCell="G2" sqref="G2"/>
    </sheetView>
  </sheetViews>
  <sheetFormatPr defaultColWidth="9.00390625" defaultRowHeight="12.75"/>
  <cols>
    <col min="1" max="1" width="39.625" style="388" customWidth="1"/>
    <col min="2" max="7" width="13.75390625" style="388" customWidth="1"/>
    <col min="8" max="16384" width="9.125" style="388" customWidth="1"/>
  </cols>
  <sheetData>
    <row r="1" spans="1:7" ht="12.75">
      <c r="A1" s="626" t="str">
        <f>KiegMell!L12</f>
        <v>Komáromi Távhő Kft</v>
      </c>
      <c r="G1" s="389" t="str">
        <f>'I.A.1'!R1</f>
        <v>Kiegészítő melléklet 2016. december 31.Hőszolgáltatás </v>
      </c>
    </row>
    <row r="2" spans="1:7" ht="12.75">
      <c r="A2" s="387"/>
      <c r="G2" s="389" t="str">
        <f>'III.H.III'!G2</f>
        <v>III. Mérleghez és eredménykimutatáshoz kapcsolódó kiegészítések</v>
      </c>
    </row>
    <row r="3" spans="1:8" ht="12.75">
      <c r="A3" s="411" t="str">
        <f>KiegMell!A31</f>
        <v>A közzétett adatokat könyvvizsgáló ellenőrizte</v>
      </c>
      <c r="B3" s="393"/>
      <c r="C3" s="393"/>
      <c r="D3" s="393"/>
      <c r="E3" s="393"/>
      <c r="F3" s="393"/>
      <c r="G3" s="393"/>
      <c r="H3" s="396"/>
    </row>
    <row r="4" spans="1:8" ht="12.75">
      <c r="A4" s="411"/>
      <c r="B4" s="393"/>
      <c r="C4" s="393"/>
      <c r="D4" s="393"/>
      <c r="E4" s="393"/>
      <c r="F4" s="393"/>
      <c r="G4" s="393"/>
      <c r="H4" s="396"/>
    </row>
    <row r="5" spans="1:8" ht="18">
      <c r="A5" s="532" t="s">
        <v>928</v>
      </c>
      <c r="B5" s="393"/>
      <c r="C5" s="393"/>
      <c r="D5" s="393"/>
      <c r="E5" s="393"/>
      <c r="F5" s="393"/>
      <c r="G5" s="393"/>
      <c r="H5" s="396"/>
    </row>
    <row r="7" spans="1:7" s="633" customFormat="1" ht="15.75" thickBot="1">
      <c r="A7" s="416" t="s">
        <v>468</v>
      </c>
      <c r="G7" s="1604" t="str">
        <f>'III.H.III'!G8</f>
        <v>Adatok E Ft-ban</v>
      </c>
    </row>
    <row r="8" spans="1:7" s="633" customFormat="1" ht="15">
      <c r="A8" s="1475" t="s">
        <v>105</v>
      </c>
      <c r="B8" s="1480"/>
      <c r="C8" s="1480"/>
      <c r="D8" s="1481"/>
      <c r="E8" s="1476" t="s">
        <v>106</v>
      </c>
      <c r="F8" s="1477"/>
      <c r="G8" s="1478"/>
    </row>
    <row r="9" spans="1:7" s="633" customFormat="1" ht="14.25">
      <c r="A9" s="2405"/>
      <c r="B9" s="2406"/>
      <c r="C9" s="2406"/>
      <c r="D9" s="2407"/>
      <c r="E9" s="2411"/>
      <c r="F9" s="2406"/>
      <c r="G9" s="2412"/>
    </row>
    <row r="10" spans="1:7" s="633" customFormat="1" ht="14.25">
      <c r="A10" s="2405"/>
      <c r="B10" s="2406"/>
      <c r="C10" s="2406"/>
      <c r="D10" s="2407"/>
      <c r="E10" s="2411"/>
      <c r="F10" s="2406"/>
      <c r="G10" s="2412"/>
    </row>
    <row r="11" spans="1:7" s="633" customFormat="1" ht="14.25">
      <c r="A11" s="2405"/>
      <c r="B11" s="2406"/>
      <c r="C11" s="2406"/>
      <c r="D11" s="2407"/>
      <c r="E11" s="2411"/>
      <c r="F11" s="2406"/>
      <c r="G11" s="2412"/>
    </row>
    <row r="12" spans="1:7" s="633" customFormat="1" ht="14.25">
      <c r="A12" s="2405"/>
      <c r="B12" s="2406"/>
      <c r="C12" s="2406"/>
      <c r="D12" s="2407"/>
      <c r="E12" s="2411"/>
      <c r="F12" s="2406"/>
      <c r="G12" s="2412"/>
    </row>
    <row r="13" spans="1:7" s="633" customFormat="1" ht="14.25">
      <c r="A13" s="2405"/>
      <c r="B13" s="2406"/>
      <c r="C13" s="2406"/>
      <c r="D13" s="2407"/>
      <c r="E13" s="2411"/>
      <c r="F13" s="2406"/>
      <c r="G13" s="2412"/>
    </row>
    <row r="14" spans="1:7" s="633" customFormat="1" ht="15" thickBot="1">
      <c r="A14" s="2418"/>
      <c r="B14" s="2414"/>
      <c r="C14" s="2414"/>
      <c r="D14" s="2419"/>
      <c r="E14" s="2413"/>
      <c r="F14" s="2414"/>
      <c r="G14" s="2415"/>
    </row>
    <row r="15" s="633" customFormat="1" ht="14.25"/>
    <row r="16" s="633" customFormat="1" ht="14.25"/>
    <row r="17" spans="1:7" s="633" customFormat="1" ht="15.75" thickBot="1">
      <c r="A17" s="1471" t="s">
        <v>1402</v>
      </c>
      <c r="B17" s="1472"/>
      <c r="C17" s="1472"/>
      <c r="D17" s="1472"/>
      <c r="E17" s="1472"/>
      <c r="F17" s="1472"/>
      <c r="G17" s="1604" t="str">
        <f>'III.H.III'!G8</f>
        <v>Adatok E Ft-ban</v>
      </c>
    </row>
    <row r="18" spans="1:7" s="1473" customFormat="1" ht="30" customHeight="1">
      <c r="A18" s="2408" t="s">
        <v>107</v>
      </c>
      <c r="B18" s="2410" t="s">
        <v>1067</v>
      </c>
      <c r="C18" s="2410"/>
      <c r="D18" s="2410" t="s">
        <v>108</v>
      </c>
      <c r="E18" s="2410"/>
      <c r="F18" s="2416" t="s">
        <v>109</v>
      </c>
      <c r="G18" s="2417"/>
    </row>
    <row r="19" spans="1:7" s="1473" customFormat="1" ht="15">
      <c r="A19" s="2409"/>
      <c r="B19" s="1474" t="s">
        <v>1205</v>
      </c>
      <c r="C19" s="1474" t="s">
        <v>1206</v>
      </c>
      <c r="D19" s="1474" t="s">
        <v>1205</v>
      </c>
      <c r="E19" s="1474" t="s">
        <v>1206</v>
      </c>
      <c r="F19" s="1474" t="s">
        <v>1205</v>
      </c>
      <c r="G19" s="1479" t="s">
        <v>1206</v>
      </c>
    </row>
    <row r="20" spans="1:7" s="633" customFormat="1" ht="14.25">
      <c r="A20" s="1482"/>
      <c r="B20" s="1483"/>
      <c r="C20" s="1483"/>
      <c r="D20" s="1483"/>
      <c r="E20" s="1483"/>
      <c r="F20" s="1483"/>
      <c r="G20" s="1484"/>
    </row>
    <row r="21" spans="1:7" s="633" customFormat="1" ht="14.25">
      <c r="A21" s="1482"/>
      <c r="B21" s="1483"/>
      <c r="C21" s="1483"/>
      <c r="D21" s="1483"/>
      <c r="E21" s="1483"/>
      <c r="F21" s="1483"/>
      <c r="G21" s="1484"/>
    </row>
    <row r="22" spans="1:7" s="633" customFormat="1" ht="14.25">
      <c r="A22" s="1482"/>
      <c r="B22" s="1483"/>
      <c r="C22" s="1483"/>
      <c r="D22" s="1483"/>
      <c r="E22" s="1483"/>
      <c r="F22" s="1483"/>
      <c r="G22" s="1484"/>
    </row>
    <row r="23" spans="1:7" s="633" customFormat="1" ht="14.25">
      <c r="A23" s="1482"/>
      <c r="B23" s="1483"/>
      <c r="C23" s="1483"/>
      <c r="D23" s="1483"/>
      <c r="E23" s="1483"/>
      <c r="F23" s="1483"/>
      <c r="G23" s="1484"/>
    </row>
    <row r="24" spans="1:7" s="633" customFormat="1" ht="14.25">
      <c r="A24" s="1482"/>
      <c r="B24" s="1483"/>
      <c r="C24" s="1483"/>
      <c r="D24" s="1483"/>
      <c r="E24" s="1483"/>
      <c r="F24" s="1483"/>
      <c r="G24" s="1484"/>
    </row>
    <row r="25" spans="1:7" s="633" customFormat="1" ht="14.25">
      <c r="A25" s="1482"/>
      <c r="B25" s="1483"/>
      <c r="C25" s="1483"/>
      <c r="D25" s="1483"/>
      <c r="E25" s="1483"/>
      <c r="F25" s="1483"/>
      <c r="G25" s="1484"/>
    </row>
    <row r="26" spans="1:7" s="633" customFormat="1" ht="15" thickBot="1">
      <c r="A26" s="1485"/>
      <c r="B26" s="1486"/>
      <c r="C26" s="1486"/>
      <c r="D26" s="1486"/>
      <c r="E26" s="1486"/>
      <c r="F26" s="1486"/>
      <c r="G26" s="1487"/>
    </row>
    <row r="27" s="633" customFormat="1" ht="14.25"/>
    <row r="28" spans="1:7" s="633" customFormat="1" ht="15.75" thickBot="1">
      <c r="A28" s="1471" t="s">
        <v>1232</v>
      </c>
      <c r="B28" s="1472"/>
      <c r="C28" s="1472"/>
      <c r="D28" s="1472"/>
      <c r="E28" s="1472"/>
      <c r="F28" s="1472"/>
      <c r="G28" s="1604" t="str">
        <f>G17</f>
        <v>Adatok E Ft-ban</v>
      </c>
    </row>
    <row r="29" spans="1:7" s="633" customFormat="1" ht="15">
      <c r="A29" s="2408" t="s">
        <v>107</v>
      </c>
      <c r="B29" s="2410" t="s">
        <v>1067</v>
      </c>
      <c r="C29" s="2410"/>
      <c r="D29" s="2410" t="s">
        <v>108</v>
      </c>
      <c r="E29" s="2410"/>
      <c r="F29" s="2416" t="s">
        <v>109</v>
      </c>
      <c r="G29" s="2417"/>
    </row>
    <row r="30" spans="1:7" s="633" customFormat="1" ht="15">
      <c r="A30" s="2409"/>
      <c r="B30" s="1474" t="s">
        <v>1205</v>
      </c>
      <c r="C30" s="1474" t="s">
        <v>1206</v>
      </c>
      <c r="D30" s="1474" t="s">
        <v>1205</v>
      </c>
      <c r="E30" s="1474" t="s">
        <v>1206</v>
      </c>
      <c r="F30" s="1474" t="s">
        <v>1205</v>
      </c>
      <c r="G30" s="1479" t="s">
        <v>1206</v>
      </c>
    </row>
    <row r="31" spans="1:7" s="633" customFormat="1" ht="14.25">
      <c r="A31" s="1482"/>
      <c r="B31" s="1483"/>
      <c r="C31" s="1483"/>
      <c r="D31" s="1483"/>
      <c r="E31" s="1483"/>
      <c r="F31" s="1483"/>
      <c r="G31" s="1484"/>
    </row>
    <row r="32" spans="1:7" s="633" customFormat="1" ht="14.25">
      <c r="A32" s="1482"/>
      <c r="B32" s="1483"/>
      <c r="C32" s="1483"/>
      <c r="D32" s="1483"/>
      <c r="E32" s="1483"/>
      <c r="F32" s="1483"/>
      <c r="G32" s="1484"/>
    </row>
    <row r="33" spans="1:7" s="633" customFormat="1" ht="14.25">
      <c r="A33" s="1482"/>
      <c r="B33" s="1483"/>
      <c r="C33" s="1483"/>
      <c r="D33" s="1483"/>
      <c r="E33" s="1483"/>
      <c r="F33" s="1483"/>
      <c r="G33" s="1484"/>
    </row>
    <row r="34" spans="1:7" s="633" customFormat="1" ht="14.25">
      <c r="A34" s="1482"/>
      <c r="B34" s="1483"/>
      <c r="C34" s="1483"/>
      <c r="D34" s="1483"/>
      <c r="E34" s="1483"/>
      <c r="F34" s="1483"/>
      <c r="G34" s="1484"/>
    </row>
    <row r="35" spans="1:7" s="633" customFormat="1" ht="14.25">
      <c r="A35" s="1482"/>
      <c r="B35" s="1483"/>
      <c r="C35" s="1483"/>
      <c r="D35" s="1483"/>
      <c r="E35" s="1483"/>
      <c r="F35" s="1483"/>
      <c r="G35" s="1484"/>
    </row>
    <row r="36" spans="1:7" s="633" customFormat="1" ht="14.25">
      <c r="A36" s="1482"/>
      <c r="B36" s="1483"/>
      <c r="C36" s="1483"/>
      <c r="D36" s="1483"/>
      <c r="E36" s="1483"/>
      <c r="F36" s="1483"/>
      <c r="G36" s="1484"/>
    </row>
    <row r="37" spans="1:7" s="633" customFormat="1" ht="15" thickBot="1">
      <c r="A37" s="1485"/>
      <c r="B37" s="1486"/>
      <c r="C37" s="1486"/>
      <c r="D37" s="1486"/>
      <c r="E37" s="1486"/>
      <c r="F37" s="1486"/>
      <c r="G37" s="1487"/>
    </row>
    <row r="38" s="633" customFormat="1" ht="14.25"/>
    <row r="39" s="633" customFormat="1" ht="14.25"/>
    <row r="40" s="633" customFormat="1" ht="14.25"/>
  </sheetData>
  <mergeCells count="20">
    <mergeCell ref="A29:A30"/>
    <mergeCell ref="B29:C29"/>
    <mergeCell ref="D29:E29"/>
    <mergeCell ref="F29:G29"/>
    <mergeCell ref="E9:G9"/>
    <mergeCell ref="E10:G10"/>
    <mergeCell ref="E11:G11"/>
    <mergeCell ref="A9:D9"/>
    <mergeCell ref="A10:D10"/>
    <mergeCell ref="A11:D11"/>
    <mergeCell ref="A12:D12"/>
    <mergeCell ref="A18:A19"/>
    <mergeCell ref="B18:C18"/>
    <mergeCell ref="D18:E18"/>
    <mergeCell ref="E12:G12"/>
    <mergeCell ref="E13:G13"/>
    <mergeCell ref="E14:G14"/>
    <mergeCell ref="F18:G18"/>
    <mergeCell ref="A13:D13"/>
    <mergeCell ref="A14:D14"/>
  </mergeCells>
  <printOptions horizontalCentered="1"/>
  <pageMargins left="0.7874015748031497" right="0.7874015748031497" top="0.5905511811023623" bottom="0.984251968503937" header="0.3937007874015748" footer="0.5118110236220472"/>
  <pageSetup horizontalDpi="600" verticalDpi="600" orientation="landscape" paperSize="9" r:id="rId1"/>
  <headerFooter alignWithMargins="0">
    <oddFooter>&amp;C&amp;P/&amp;N&amp;R&amp;A</oddFooter>
  </headerFooter>
  <rowBreaks count="1" manualBreakCount="1">
    <brk id="27" max="6" man="1"/>
  </rowBreaks>
</worksheet>
</file>

<file path=xl/worksheets/sheet42.xml><?xml version="1.0" encoding="utf-8"?>
<worksheet xmlns="http://schemas.openxmlformats.org/spreadsheetml/2006/main" xmlns:r="http://schemas.openxmlformats.org/officeDocument/2006/relationships">
  <sheetPr codeName="Munka66">
    <tabColor indexed="11"/>
  </sheetPr>
  <dimension ref="A1:F33"/>
  <sheetViews>
    <sheetView workbookViewId="0" topLeftCell="A1">
      <selection activeCell="C46" sqref="C46"/>
    </sheetView>
  </sheetViews>
  <sheetFormatPr defaultColWidth="9.00390625" defaultRowHeight="12.75"/>
  <cols>
    <col min="1" max="1" width="11.00390625" style="388" customWidth="1"/>
    <col min="2" max="2" width="33.75390625" style="388" customWidth="1"/>
    <col min="3" max="4" width="20.75390625" style="388" customWidth="1"/>
    <col min="5" max="5" width="9.25390625" style="388" customWidth="1"/>
    <col min="6" max="16384" width="9.125" style="388" customWidth="1"/>
  </cols>
  <sheetData>
    <row r="1" spans="1:4" s="372" customFormat="1" ht="15">
      <c r="A1" s="387" t="str">
        <f>'III.G'!A1</f>
        <v>Komáromi Távhő Kft</v>
      </c>
      <c r="B1" s="470"/>
      <c r="C1" s="470"/>
      <c r="D1" s="389" t="str">
        <f>'III.G'!D1</f>
        <v>Kiegészítő melléklet 2016. december 31.Hőszolgáltatás </v>
      </c>
    </row>
    <row r="2" spans="1:4" s="372" customFormat="1" ht="15">
      <c r="A2" s="387"/>
      <c r="B2" s="470"/>
      <c r="C2" s="470"/>
      <c r="D2" s="389" t="str">
        <f>'III.G'!D2</f>
        <v>II. Tájékoztató kiegészítések</v>
      </c>
    </row>
    <row r="3" spans="1:4" s="372" customFormat="1" ht="15">
      <c r="A3" s="387"/>
      <c r="B3" s="470"/>
      <c r="C3" s="470"/>
      <c r="D3" s="389"/>
    </row>
    <row r="4" spans="1:4" s="372" customFormat="1" ht="15">
      <c r="A4" s="411" t="str">
        <f>'III.G'!A4</f>
        <v>A közzétett adatokat könyvvizsgáló ellenőrizte</v>
      </c>
      <c r="B4" s="1634"/>
      <c r="C4" s="1634"/>
      <c r="D4" s="396"/>
    </row>
    <row r="5" spans="1:6" s="372" customFormat="1" ht="14.25" customHeight="1">
      <c r="A5" s="2373"/>
      <c r="B5" s="2373"/>
      <c r="C5" s="2373"/>
      <c r="D5" s="2373"/>
      <c r="E5" s="472"/>
      <c r="F5" s="472"/>
    </row>
    <row r="6" spans="1:4" ht="18">
      <c r="A6" s="532" t="s">
        <v>928</v>
      </c>
      <c r="B6" s="532"/>
      <c r="C6" s="532"/>
      <c r="D6" s="532"/>
    </row>
    <row r="8" ht="12.75">
      <c r="A8" s="398" t="s">
        <v>551</v>
      </c>
    </row>
    <row r="9" ht="12.75">
      <c r="A9" s="398"/>
    </row>
    <row r="10" spans="1:4" s="1679" customFormat="1" ht="13.5" thickBot="1">
      <c r="A10" s="1677"/>
      <c r="B10" s="1680"/>
      <c r="C10" s="1678"/>
      <c r="D10" s="1698" t="str">
        <f>'III.H.I'!D9</f>
        <v>Adatok E Ft-ban</v>
      </c>
    </row>
    <row r="11" spans="1:4" s="1679" customFormat="1" ht="12.75">
      <c r="A11" s="2427" t="s">
        <v>494</v>
      </c>
      <c r="B11" s="2428"/>
      <c r="C11" s="2423" t="s">
        <v>43</v>
      </c>
      <c r="D11" s="2424"/>
    </row>
    <row r="12" spans="1:4" s="1679" customFormat="1" ht="14.25" customHeight="1" thickBot="1">
      <c r="A12" s="2429"/>
      <c r="B12" s="2430"/>
      <c r="C12" s="1695" t="s">
        <v>1205</v>
      </c>
      <c r="D12" s="1694" t="s">
        <v>1206</v>
      </c>
    </row>
    <row r="13" spans="1:4" ht="13.5" thickTop="1">
      <c r="A13" s="2425" t="s">
        <v>330</v>
      </c>
      <c r="B13" s="2426"/>
      <c r="C13" s="1700">
        <f>'L.H.I-VIIA'!I26</f>
        <v>0</v>
      </c>
      <c r="D13" s="1701">
        <f>'L.H.I-VIIA'!J26</f>
        <v>0</v>
      </c>
    </row>
    <row r="14" spans="1:4" ht="13.5" thickBot="1">
      <c r="A14" s="2431" t="s">
        <v>1086</v>
      </c>
      <c r="B14" s="2432"/>
      <c r="C14" s="1702">
        <f>'L.H.I-VIIA'!I31</f>
        <v>0</v>
      </c>
      <c r="D14" s="1703">
        <f>'L.H.I-VIIA'!J31</f>
        <v>0</v>
      </c>
    </row>
    <row r="15" spans="1:4" ht="13.5" thickBot="1">
      <c r="A15" s="2394" t="s">
        <v>331</v>
      </c>
      <c r="B15" s="2395"/>
      <c r="C15" s="1696">
        <f>SUM(C13,C14)</f>
        <v>0</v>
      </c>
      <c r="D15" s="1697">
        <f>SUM(D13,D14)</f>
        <v>0</v>
      </c>
    </row>
    <row r="16" spans="1:4" ht="12.75">
      <c r="A16" s="1656"/>
      <c r="B16" s="1656"/>
      <c r="C16" s="1657"/>
      <c r="D16" s="1657"/>
    </row>
    <row r="17" spans="1:4" ht="12.75">
      <c r="A17" s="1656"/>
      <c r="B17" s="1656"/>
      <c r="C17" s="1657"/>
      <c r="D17" s="1657"/>
    </row>
    <row r="18" ht="12.75">
      <c r="A18" s="398" t="s">
        <v>1406</v>
      </c>
    </row>
    <row r="19" ht="12.75">
      <c r="A19" s="398"/>
    </row>
    <row r="20" ht="13.5" thickBot="1">
      <c r="D20" s="1699" t="str">
        <f>D10</f>
        <v>Adatok E Ft-ban</v>
      </c>
    </row>
    <row r="21" spans="1:4" ht="13.5" customHeight="1">
      <c r="A21" s="2427" t="s">
        <v>494</v>
      </c>
      <c r="B21" s="2428"/>
      <c r="C21" s="2423" t="s">
        <v>43</v>
      </c>
      <c r="D21" s="2424"/>
    </row>
    <row r="22" spans="1:4" ht="13.5" thickBot="1">
      <c r="A22" s="2429"/>
      <c r="B22" s="2430"/>
      <c r="C22" s="1704" t="s">
        <v>1205</v>
      </c>
      <c r="D22" s="1693" t="s">
        <v>1206</v>
      </c>
    </row>
    <row r="23" spans="1:4" ht="13.5" thickTop="1">
      <c r="A23" s="1940" t="s">
        <v>90</v>
      </c>
      <c r="B23" s="1860"/>
      <c r="C23" s="1700">
        <f>'L.H.I-VIIA'!I37</f>
        <v>0</v>
      </c>
      <c r="D23" s="1701">
        <f>'L.H.I-VIIA'!J37</f>
        <v>0</v>
      </c>
    </row>
    <row r="24" spans="1:4" ht="12.75">
      <c r="A24" s="1941" t="s">
        <v>91</v>
      </c>
      <c r="B24" s="1861"/>
      <c r="C24" s="1705">
        <f>'L.H.I-VIIA'!I42</f>
        <v>0</v>
      </c>
      <c r="D24" s="1706">
        <f>'L.H.I-VIIA'!J42</f>
        <v>0</v>
      </c>
    </row>
    <row r="25" spans="1:4" ht="12.75">
      <c r="A25" s="1942" t="s">
        <v>92</v>
      </c>
      <c r="B25" s="1862"/>
      <c r="C25" s="1705">
        <f>'L.H.I-VIIA'!I47</f>
        <v>0</v>
      </c>
      <c r="D25" s="1706">
        <f>'L.H.I-VIIA'!J47</f>
        <v>0</v>
      </c>
    </row>
    <row r="26" spans="1:4" ht="12.75">
      <c r="A26" s="1941" t="s">
        <v>1101</v>
      </c>
      <c r="B26" s="1861"/>
      <c r="C26" s="1705">
        <f>'L.H.I-VIIA'!I52</f>
        <v>0</v>
      </c>
      <c r="D26" s="1706">
        <f>'L.H.I-VIIA'!J52</f>
        <v>0</v>
      </c>
    </row>
    <row r="27" spans="1:4" ht="13.5" thickBot="1">
      <c r="A27" s="1943" t="s">
        <v>1106</v>
      </c>
      <c r="B27" s="1863"/>
      <c r="C27" s="1707">
        <f>'L.H.I-VIIA'!I57</f>
        <v>0</v>
      </c>
      <c r="D27" s="1708">
        <f>'L.H.I-VIIA'!J57</f>
        <v>0</v>
      </c>
    </row>
    <row r="28" spans="1:4" ht="13.5" thickBot="1">
      <c r="A28" s="2394" t="s">
        <v>1263</v>
      </c>
      <c r="B28" s="2395"/>
      <c r="C28" s="1696">
        <f>SUM(C23,C24,C25,C26,C27)</f>
        <v>0</v>
      </c>
      <c r="D28" s="1697">
        <f>SUM(D23,D24,D25,D26,D27)</f>
        <v>0</v>
      </c>
    </row>
    <row r="29" spans="1:4" ht="12.75">
      <c r="A29" s="1944" t="s">
        <v>1110</v>
      </c>
      <c r="B29" s="1864"/>
      <c r="C29" s="1709">
        <f>'L.H.I-VIIA'!I63</f>
        <v>0</v>
      </c>
      <c r="D29" s="1710">
        <f>'L.H.I-VIIA'!J63</f>
        <v>0</v>
      </c>
    </row>
    <row r="30" spans="1:4" ht="12.75">
      <c r="A30" s="1941" t="s">
        <v>1112</v>
      </c>
      <c r="B30" s="1861"/>
      <c r="C30" s="1705">
        <f>'L.H.I-VIIA'!I68</f>
        <v>0</v>
      </c>
      <c r="D30" s="1706">
        <f>'L.H.I-VIIA'!J68</f>
        <v>0</v>
      </c>
    </row>
    <row r="31" spans="1:4" ht="13.5" thickBot="1">
      <c r="A31" s="1943" t="s">
        <v>1114</v>
      </c>
      <c r="B31" s="1863"/>
      <c r="C31" s="1707">
        <f>'L.H.I-VIIA'!I73</f>
        <v>0</v>
      </c>
      <c r="D31" s="1708">
        <f>'L.H.I-VIIA'!J73</f>
        <v>0</v>
      </c>
    </row>
    <row r="32" spans="1:4" ht="14.25" customHeight="1" thickBot="1">
      <c r="A32" s="2394" t="s">
        <v>1264</v>
      </c>
      <c r="B32" s="2420"/>
      <c r="C32" s="1696">
        <f>SUM(C29,C30,C31)</f>
        <v>0</v>
      </c>
      <c r="D32" s="1697">
        <f>SUM(D29,D30,D31)</f>
        <v>0</v>
      </c>
    </row>
    <row r="33" spans="1:4" ht="14.25" customHeight="1" thickBot="1">
      <c r="A33" s="2421" t="s">
        <v>1119</v>
      </c>
      <c r="B33" s="2422"/>
      <c r="C33" s="1711">
        <f>'L.H.I-VIIA'!I79</f>
        <v>0</v>
      </c>
      <c r="D33" s="1712">
        <f>'L.H.I-VIIA'!J79</f>
        <v>0</v>
      </c>
    </row>
    <row r="35" s="628" customFormat="1" ht="12.75"/>
    <row r="36" s="628" customFormat="1" ht="12.75"/>
    <row r="37" s="628" customFormat="1" ht="12.75"/>
    <row r="38" s="628" customFormat="1" ht="12.75"/>
    <row r="39" s="628" customFormat="1" ht="12.75"/>
    <row r="40" s="628" customFormat="1" ht="12.75"/>
    <row r="41" s="628" customFormat="1" ht="12.75"/>
    <row r="42" s="628" customFormat="1" ht="12.75"/>
    <row r="43" s="628" customFormat="1" ht="12.75"/>
    <row r="44" s="628" customFormat="1" ht="12.75"/>
    <row r="45" s="628" customFormat="1" ht="12.75"/>
    <row r="46" s="628" customFormat="1" ht="12.75"/>
    <row r="47" s="628" customFormat="1" ht="12.75"/>
    <row r="48" s="628" customFormat="1" ht="12.75"/>
    <row r="49" s="628" customFormat="1" ht="12.75"/>
    <row r="50" s="628" customFormat="1" ht="12.75"/>
    <row r="51" s="628" customFormat="1" ht="12.75"/>
    <row r="52" s="628" customFormat="1" ht="12.75"/>
    <row r="53" s="628" customFormat="1" ht="12.75"/>
    <row r="54" s="628" customFormat="1" ht="12.75"/>
    <row r="55" s="628" customFormat="1" ht="12.75"/>
    <row r="56" s="628" customFormat="1" ht="12.75"/>
    <row r="57" s="628" customFormat="1" ht="12.75"/>
    <row r="58" s="628" customFormat="1" ht="12.75"/>
    <row r="59" s="628" customFormat="1" ht="12.75"/>
    <row r="60" s="628" customFormat="1" ht="12.75"/>
    <row r="61" s="628" customFormat="1" ht="12.75"/>
    <row r="62" s="628" customFormat="1" ht="12.75"/>
    <row r="63" s="628" customFormat="1" ht="12.75"/>
    <row r="64" s="628" customFormat="1" ht="12.75"/>
    <row r="65" s="628" customFormat="1" ht="12.75"/>
    <row r="66" s="628" customFormat="1" ht="12.75"/>
    <row r="67" s="628" customFormat="1" ht="12.75"/>
    <row r="68" s="628" customFormat="1" ht="12.75"/>
    <row r="69" s="628" customFormat="1" ht="12.75"/>
    <row r="70" s="628" customFormat="1" ht="12.75"/>
    <row r="71" s="628" customFormat="1" ht="12.75"/>
    <row r="72" s="628" customFormat="1" ht="12.75"/>
    <row r="73" s="628" customFormat="1" ht="12.75"/>
    <row r="74" s="628" customFormat="1" ht="12.75"/>
    <row r="75" s="628" customFormat="1" ht="12.75"/>
    <row r="76" s="628" customFormat="1" ht="12.75"/>
    <row r="77" s="628" customFormat="1" ht="12.75"/>
    <row r="78" s="628" customFormat="1" ht="12.75"/>
    <row r="79" s="628" customFormat="1" ht="12.75"/>
    <row r="80" s="628" customFormat="1" ht="12.75"/>
    <row r="81" s="628" customFormat="1" ht="12.75"/>
    <row r="82" s="628" customFormat="1" ht="12.75"/>
    <row r="83" s="628" customFormat="1" ht="12.75"/>
    <row r="84" s="628" customFormat="1" ht="12.75"/>
    <row r="85" s="628" customFormat="1" ht="12.75"/>
    <row r="86" s="628" customFormat="1" ht="12.75"/>
    <row r="87" s="628" customFormat="1" ht="12.75"/>
    <row r="88" s="628" customFormat="1" ht="12.75"/>
    <row r="89" s="628" customFormat="1" ht="12.75"/>
    <row r="90" s="628" customFormat="1" ht="12.75"/>
    <row r="91" s="628" customFormat="1" ht="12.75"/>
    <row r="92" s="628" customFormat="1" ht="12.75"/>
    <row r="93" s="628" customFormat="1" ht="12.75"/>
    <row r="94" s="628" customFormat="1" ht="12.75"/>
    <row r="95" s="628" customFormat="1" ht="12.75"/>
    <row r="96" s="628" customFormat="1" ht="12.75"/>
    <row r="97" s="628" customFormat="1" ht="12.75"/>
    <row r="98" s="628" customFormat="1" ht="12.75"/>
    <row r="99" s="628" customFormat="1" ht="12.75"/>
    <row r="100" s="628" customFormat="1" ht="12.75"/>
    <row r="101" s="628" customFormat="1" ht="12.75"/>
    <row r="102" s="628" customFormat="1" ht="12.75"/>
    <row r="103" s="628" customFormat="1" ht="12.75"/>
    <row r="104" s="628" customFormat="1" ht="12.75"/>
    <row r="105" s="628" customFormat="1" ht="12.75"/>
    <row r="106" s="628" customFormat="1" ht="12.75"/>
    <row r="107" s="628" customFormat="1" ht="12.75"/>
    <row r="108" s="628" customFormat="1" ht="12.75"/>
    <row r="109" s="628" customFormat="1" ht="12.75"/>
    <row r="110" s="628" customFormat="1" ht="12.75"/>
  </sheetData>
  <mergeCells count="11">
    <mergeCell ref="A5:D5"/>
    <mergeCell ref="C11:D11"/>
    <mergeCell ref="A11:B12"/>
    <mergeCell ref="A28:B28"/>
    <mergeCell ref="A32:B32"/>
    <mergeCell ref="A33:B33"/>
    <mergeCell ref="C21:D21"/>
    <mergeCell ref="A13:B13"/>
    <mergeCell ref="A21:B22"/>
    <mergeCell ref="A14:B14"/>
    <mergeCell ref="A15:B15"/>
  </mergeCells>
  <printOptions/>
  <pageMargins left="0.77" right="0.79" top="0.5905511811023623" bottom="0.984251968503937" header="0.3937007874015748" footer="0.5118110236220472"/>
  <pageSetup horizontalDpi="600" verticalDpi="600" orientation="portrait" paperSize="9" r:id="rId1"/>
  <headerFooter alignWithMargins="0">
    <oddFooter>&amp;C&amp;P/&amp;N&amp;R&amp;A</oddFooter>
  </headerFooter>
  <colBreaks count="1" manualBreakCount="1">
    <brk id="4" max="65535" man="1"/>
  </colBreaks>
</worksheet>
</file>

<file path=xl/worksheets/sheet43.xml><?xml version="1.0" encoding="utf-8"?>
<worksheet xmlns="http://schemas.openxmlformats.org/spreadsheetml/2006/main" xmlns:r="http://schemas.openxmlformats.org/officeDocument/2006/relationships">
  <sheetPr codeName="Munka68">
    <tabColor indexed="11"/>
  </sheetPr>
  <dimension ref="A1:F27"/>
  <sheetViews>
    <sheetView workbookViewId="0" topLeftCell="A1">
      <selection activeCell="A8" sqref="A8:F8"/>
    </sheetView>
  </sheetViews>
  <sheetFormatPr defaultColWidth="9.00390625" defaultRowHeight="12.75"/>
  <cols>
    <col min="1" max="1" width="19.875" style="388" customWidth="1"/>
    <col min="2" max="2" width="23.125" style="388" customWidth="1"/>
    <col min="3" max="3" width="11.00390625" style="388" bestFit="1" customWidth="1"/>
    <col min="4" max="4" width="16.625" style="388" bestFit="1" customWidth="1"/>
    <col min="5" max="5" width="11.125" style="388" customWidth="1"/>
    <col min="6" max="6" width="10.00390625" style="388" customWidth="1"/>
    <col min="7" max="16384" width="9.125" style="388" customWidth="1"/>
  </cols>
  <sheetData>
    <row r="1" spans="1:6" s="372" customFormat="1" ht="15">
      <c r="A1" s="387" t="str">
        <f>'III.G'!A1</f>
        <v>Komáromi Távhő Kft</v>
      </c>
      <c r="B1" s="470"/>
      <c r="C1" s="470"/>
      <c r="F1" s="389" t="str">
        <f>'III.G'!D1</f>
        <v>Kiegészítő melléklet 2016. december 31.Hőszolgáltatás </v>
      </c>
    </row>
    <row r="2" spans="1:6" s="372" customFormat="1" ht="15">
      <c r="A2" s="387"/>
      <c r="B2" s="470"/>
      <c r="C2" s="470"/>
      <c r="F2" s="389" t="str">
        <f>'III.G'!D2</f>
        <v>II. Tájékoztató kiegészítések</v>
      </c>
    </row>
    <row r="3" spans="1:6" s="688" customFormat="1" ht="15">
      <c r="A3" s="1743"/>
      <c r="B3" s="1634"/>
      <c r="C3" s="1634"/>
      <c r="D3" s="396"/>
      <c r="E3" s="531"/>
      <c r="F3" s="531"/>
    </row>
    <row r="4" spans="1:6" s="688" customFormat="1" ht="15">
      <c r="A4" s="411" t="str">
        <f>'III.G'!A4</f>
        <v>A közzétett adatokat könyvvizsgáló ellenőrizte</v>
      </c>
      <c r="B4" s="1634"/>
      <c r="C4" s="1634"/>
      <c r="D4" s="396"/>
      <c r="E4" s="531"/>
      <c r="F4" s="531"/>
    </row>
    <row r="5" spans="1:6" s="688" customFormat="1" ht="14.25" customHeight="1">
      <c r="A5" s="2373"/>
      <c r="B5" s="2373"/>
      <c r="C5" s="2373"/>
      <c r="D5" s="2373"/>
      <c r="E5" s="531"/>
      <c r="F5" s="531"/>
    </row>
    <row r="6" spans="1:6" s="628" customFormat="1" ht="18">
      <c r="A6" s="532" t="s">
        <v>928</v>
      </c>
      <c r="B6" s="532"/>
      <c r="C6" s="532"/>
      <c r="D6" s="532"/>
      <c r="E6" s="393"/>
      <c r="F6" s="393"/>
    </row>
    <row r="8" spans="1:6" ht="27.75" customHeight="1">
      <c r="A8" s="2433" t="s">
        <v>564</v>
      </c>
      <c r="B8" s="2433"/>
      <c r="C8" s="2433"/>
      <c r="D8" s="2433"/>
      <c r="E8" s="2433"/>
      <c r="F8" s="2433"/>
    </row>
    <row r="9" spans="1:6" s="521" customFormat="1" ht="13.5" thickBot="1">
      <c r="A9" s="522"/>
      <c r="F9" s="1569" t="str">
        <f>'III.A.I-II'!R10</f>
        <v>Adatok E Ft-ban</v>
      </c>
    </row>
    <row r="10" spans="1:6" s="521" customFormat="1" ht="69" customHeight="1">
      <c r="A10" s="2274" t="s">
        <v>2</v>
      </c>
      <c r="B10" s="2276" t="s">
        <v>1</v>
      </c>
      <c r="C10" s="2272" t="s">
        <v>947</v>
      </c>
      <c r="D10" s="2272" t="s">
        <v>948</v>
      </c>
      <c r="E10" s="2272" t="s">
        <v>950</v>
      </c>
      <c r="F10" s="2273"/>
    </row>
    <row r="11" spans="1:6" s="521" customFormat="1" ht="25.5">
      <c r="A11" s="2434"/>
      <c r="B11" s="2277"/>
      <c r="C11" s="2277"/>
      <c r="D11" s="2277"/>
      <c r="E11" s="1741" t="s">
        <v>895</v>
      </c>
      <c r="F11" s="1742" t="s">
        <v>3</v>
      </c>
    </row>
    <row r="12" spans="1:6" s="521" customFormat="1" ht="12.75">
      <c r="A12" s="967"/>
      <c r="B12" s="523"/>
      <c r="C12" s="523"/>
      <c r="D12" s="523"/>
      <c r="E12" s="523"/>
      <c r="F12" s="1649"/>
    </row>
    <row r="13" spans="1:6" s="521" customFormat="1" ht="12.75">
      <c r="A13" s="967"/>
      <c r="B13" s="523"/>
      <c r="C13" s="523"/>
      <c r="D13" s="523"/>
      <c r="E13" s="523"/>
      <c r="F13" s="1649"/>
    </row>
    <row r="14" spans="1:6" s="521" customFormat="1" ht="12.75">
      <c r="A14" s="967"/>
      <c r="B14" s="523"/>
      <c r="C14" s="523"/>
      <c r="D14" s="523"/>
      <c r="E14" s="523"/>
      <c r="F14" s="1649"/>
    </row>
    <row r="15" spans="1:6" s="521" customFormat="1" ht="12.75">
      <c r="A15" s="967"/>
      <c r="B15" s="523"/>
      <c r="C15" s="523"/>
      <c r="D15" s="523"/>
      <c r="E15" s="523"/>
      <c r="F15" s="1649"/>
    </row>
    <row r="16" spans="1:6" s="521" customFormat="1" ht="12.75">
      <c r="A16" s="967"/>
      <c r="B16" s="523"/>
      <c r="C16" s="523"/>
      <c r="D16" s="523"/>
      <c r="E16" s="523"/>
      <c r="F16" s="1649"/>
    </row>
    <row r="17" spans="1:6" s="521" customFormat="1" ht="12.75">
      <c r="A17" s="967"/>
      <c r="B17" s="523"/>
      <c r="C17" s="523"/>
      <c r="D17" s="523"/>
      <c r="E17" s="523"/>
      <c r="F17" s="1649"/>
    </row>
    <row r="18" spans="1:6" s="521" customFormat="1" ht="13.5" thickBot="1">
      <c r="A18" s="1650"/>
      <c r="B18" s="1651"/>
      <c r="C18" s="1651"/>
      <c r="D18" s="1651"/>
      <c r="E18" s="1651"/>
      <c r="F18" s="1652"/>
    </row>
    <row r="19" s="521" customFormat="1" ht="12.75"/>
    <row r="21" s="628" customFormat="1" ht="12.75"/>
    <row r="22" s="628" customFormat="1" ht="12.75"/>
    <row r="23" spans="1:4" s="628" customFormat="1" ht="15">
      <c r="A23" s="687"/>
      <c r="B23" s="688"/>
      <c r="C23" s="688"/>
      <c r="D23" s="688"/>
    </row>
    <row r="24" spans="1:4" s="628" customFormat="1" ht="15">
      <c r="A24" s="687"/>
      <c r="B24" s="688"/>
      <c r="C24" s="688"/>
      <c r="D24" s="688"/>
    </row>
    <row r="25" spans="1:4" s="628" customFormat="1" ht="15">
      <c r="A25" s="687"/>
      <c r="B25" s="688"/>
      <c r="C25" s="688"/>
      <c r="D25" s="688"/>
    </row>
    <row r="26" spans="1:4" s="628" customFormat="1" ht="15">
      <c r="A26" s="687"/>
      <c r="B26" s="688"/>
      <c r="C26" s="688"/>
      <c r="D26" s="688"/>
    </row>
    <row r="27" spans="1:4" s="628" customFormat="1" ht="15">
      <c r="A27" s="687"/>
      <c r="B27" s="688"/>
      <c r="C27" s="688"/>
      <c r="D27" s="688"/>
    </row>
    <row r="28" s="628" customFormat="1" ht="12.75"/>
    <row r="29" s="628" customFormat="1" ht="12.75"/>
    <row r="30" s="628" customFormat="1" ht="12.75"/>
    <row r="31" s="628" customFormat="1" ht="12.75"/>
    <row r="32" s="628" customFormat="1" ht="12.75"/>
    <row r="33" s="628" customFormat="1" ht="12.75"/>
    <row r="34" s="628" customFormat="1" ht="12.75"/>
    <row r="35" s="628" customFormat="1" ht="12.75"/>
    <row r="36" s="628" customFormat="1" ht="12.75"/>
    <row r="37" s="628" customFormat="1" ht="12.75"/>
    <row r="38" s="628" customFormat="1" ht="12.75"/>
    <row r="39" s="628" customFormat="1" ht="12.75"/>
    <row r="40" s="628" customFormat="1" ht="12.75"/>
    <row r="41" s="628" customFormat="1" ht="12.75"/>
    <row r="42" s="628" customFormat="1" ht="12.75"/>
    <row r="43" s="628" customFormat="1" ht="12.75"/>
    <row r="44" s="628" customFormat="1" ht="12.75"/>
    <row r="45" s="628" customFormat="1" ht="12.75"/>
    <row r="46" s="628" customFormat="1" ht="12.75"/>
    <row r="47" s="628" customFormat="1" ht="12.75"/>
    <row r="48" s="628" customFormat="1" ht="12.75"/>
    <row r="49" s="628" customFormat="1" ht="12.75"/>
    <row r="50" s="628" customFormat="1" ht="12.75"/>
    <row r="51" s="628" customFormat="1" ht="12.75"/>
    <row r="52" s="628" customFormat="1" ht="12.75"/>
    <row r="53" s="628" customFormat="1" ht="12.75"/>
    <row r="54" s="628" customFormat="1" ht="12.75"/>
    <row r="55" s="628" customFormat="1" ht="12.75"/>
    <row r="56" s="628" customFormat="1" ht="12.75"/>
    <row r="57" s="628" customFormat="1" ht="12.75"/>
    <row r="58" s="628" customFormat="1" ht="12.75"/>
    <row r="59" s="628" customFormat="1" ht="12.75"/>
    <row r="60" s="628" customFormat="1" ht="12.75"/>
    <row r="61" s="628" customFormat="1" ht="12.75"/>
    <row r="62" s="628" customFormat="1" ht="12.75"/>
    <row r="63" s="628" customFormat="1" ht="12.75"/>
    <row r="64" s="628" customFormat="1" ht="12.75"/>
    <row r="65" s="628" customFormat="1" ht="12.75"/>
    <row r="66" s="628" customFormat="1" ht="12.75"/>
    <row r="67" s="628" customFormat="1" ht="12.75"/>
    <row r="68" s="628" customFormat="1" ht="12.75"/>
    <row r="69" s="628" customFormat="1" ht="12.75"/>
    <row r="70" s="628" customFormat="1" ht="12.75"/>
    <row r="71" s="628" customFormat="1" ht="12.75"/>
    <row r="72" s="628" customFormat="1" ht="12.75"/>
    <row r="73" s="628" customFormat="1" ht="12.75"/>
    <row r="74" s="628" customFormat="1" ht="12.75"/>
    <row r="75" s="628" customFormat="1" ht="12.75"/>
    <row r="76" s="628" customFormat="1" ht="12.75"/>
    <row r="77" s="628" customFormat="1" ht="12.75"/>
    <row r="78" s="628" customFormat="1" ht="12.75"/>
    <row r="79" s="628" customFormat="1" ht="12.75"/>
    <row r="80" s="628" customFormat="1" ht="12.75"/>
    <row r="81" s="628" customFormat="1" ht="12.75"/>
    <row r="82" s="628" customFormat="1" ht="12.75"/>
    <row r="83" s="628" customFormat="1" ht="12.75"/>
    <row r="84" s="628" customFormat="1" ht="12.75"/>
    <row r="85" s="628" customFormat="1" ht="12.75"/>
    <row r="86" s="628" customFormat="1" ht="12.75"/>
    <row r="87" s="628" customFormat="1" ht="12.75"/>
    <row r="88" s="628" customFormat="1" ht="12.75"/>
    <row r="89" s="628" customFormat="1" ht="12.75"/>
    <row r="90" s="628" customFormat="1" ht="12.75"/>
    <row r="91" s="628" customFormat="1" ht="12.75"/>
    <row r="92" s="628" customFormat="1" ht="12.75"/>
    <row r="93" s="628" customFormat="1" ht="12.75"/>
    <row r="94" s="628" customFormat="1" ht="12.75"/>
    <row r="95" s="628" customFormat="1" ht="12.75"/>
    <row r="96" s="628" customFormat="1" ht="12.75"/>
  </sheetData>
  <mergeCells count="7">
    <mergeCell ref="A5:D5"/>
    <mergeCell ref="A8:F8"/>
    <mergeCell ref="E10:F10"/>
    <mergeCell ref="A10:A11"/>
    <mergeCell ref="B10:B11"/>
    <mergeCell ref="C10:C11"/>
    <mergeCell ref="D10:D11"/>
  </mergeCells>
  <printOptions/>
  <pageMargins left="0.59" right="0.61" top="0.5905511811023623" bottom="0.984251968503937" header="0.3937007874015748" footer="0.5118110236220472"/>
  <pageSetup horizontalDpi="600" verticalDpi="600" orientation="portrait" paperSize="9" scale="97" r:id="rId1"/>
  <headerFooter alignWithMargins="0">
    <oddFooter>&amp;C&amp;P/&amp;N&amp;R&amp;A</oddFooter>
  </headerFooter>
</worksheet>
</file>

<file path=xl/worksheets/sheet44.xml><?xml version="1.0" encoding="utf-8"?>
<worksheet xmlns="http://schemas.openxmlformats.org/spreadsheetml/2006/main" xmlns:r="http://schemas.openxmlformats.org/officeDocument/2006/relationships">
  <sheetPr codeName="Munka27"/>
  <dimension ref="A9:T65"/>
  <sheetViews>
    <sheetView workbookViewId="0" topLeftCell="A16">
      <selection activeCell="O45" sqref="O45"/>
    </sheetView>
  </sheetViews>
  <sheetFormatPr defaultColWidth="9.00390625" defaultRowHeight="12.75"/>
  <cols>
    <col min="1" max="1" width="11.00390625" style="0" customWidth="1"/>
    <col min="2" max="2" width="11.25390625" style="0" customWidth="1"/>
    <col min="3" max="3" width="7.75390625" style="0" customWidth="1"/>
    <col min="4" max="4" width="7.625" style="0" customWidth="1"/>
    <col min="5" max="5" width="10.00390625" style="0" bestFit="1" customWidth="1"/>
  </cols>
  <sheetData>
    <row r="9" spans="2:11" s="223" customFormat="1" ht="51">
      <c r="B9" s="223" t="s">
        <v>1344</v>
      </c>
      <c r="C9" s="223" t="s">
        <v>1341</v>
      </c>
      <c r="D9" s="223" t="s">
        <v>1342</v>
      </c>
      <c r="E9" s="223" t="s">
        <v>1343</v>
      </c>
      <c r="F9" s="223" t="s">
        <v>996</v>
      </c>
      <c r="H9" s="223" t="s">
        <v>997</v>
      </c>
      <c r="K9" s="223" t="s">
        <v>1258</v>
      </c>
    </row>
    <row r="10" spans="1:20" ht="12.75">
      <c r="A10" s="848">
        <v>1</v>
      </c>
      <c r="B10" s="848">
        <v>2</v>
      </c>
      <c r="C10" s="848">
        <v>3</v>
      </c>
      <c r="D10" s="848">
        <v>4</v>
      </c>
      <c r="E10" s="848">
        <v>5</v>
      </c>
      <c r="F10" s="848">
        <v>6</v>
      </c>
      <c r="G10" s="848">
        <v>7</v>
      </c>
      <c r="H10" s="848">
        <v>8</v>
      </c>
      <c r="I10" s="848">
        <v>9</v>
      </c>
      <c r="J10" s="848">
        <v>10</v>
      </c>
      <c r="K10" s="848">
        <v>11</v>
      </c>
      <c r="L10" s="848">
        <v>12</v>
      </c>
      <c r="M10" s="848">
        <v>13</v>
      </c>
      <c r="N10" s="848">
        <v>14</v>
      </c>
      <c r="O10" s="848">
        <v>15</v>
      </c>
      <c r="P10" s="848">
        <v>16</v>
      </c>
      <c r="Q10" s="848">
        <v>17</v>
      </c>
      <c r="R10" s="848">
        <v>18</v>
      </c>
      <c r="S10" s="848">
        <v>19</v>
      </c>
      <c r="T10" s="848">
        <v>20</v>
      </c>
    </row>
    <row r="11" spans="1:12" ht="12.75">
      <c r="A11" t="s">
        <v>1056</v>
      </c>
      <c r="B11">
        <v>37</v>
      </c>
      <c r="C11">
        <f>'III.B.II'!A10</f>
        <v>0</v>
      </c>
      <c r="D11">
        <f>'III.B.II'!A13</f>
        <v>0</v>
      </c>
      <c r="E11" t="s">
        <v>1676</v>
      </c>
      <c r="F11">
        <v>3</v>
      </c>
      <c r="G11">
        <v>3</v>
      </c>
      <c r="H11">
        <v>4</v>
      </c>
      <c r="I11">
        <v>4</v>
      </c>
      <c r="J11">
        <v>0</v>
      </c>
      <c r="K11">
        <v>1</v>
      </c>
      <c r="L11">
        <v>1</v>
      </c>
    </row>
    <row r="12" spans="1:12" ht="12.75">
      <c r="A12" t="s">
        <v>1056</v>
      </c>
      <c r="B12">
        <v>38</v>
      </c>
      <c r="C12">
        <f>'III.B.II'!A15</f>
        <v>0</v>
      </c>
      <c r="D12">
        <f>'III.B.II'!A18</f>
        <v>0</v>
      </c>
      <c r="E12" t="s">
        <v>1676</v>
      </c>
      <c r="F12">
        <v>3</v>
      </c>
      <c r="G12">
        <v>3</v>
      </c>
      <c r="H12">
        <v>4</v>
      </c>
      <c r="I12">
        <v>4</v>
      </c>
      <c r="J12">
        <v>0</v>
      </c>
      <c r="K12">
        <v>1</v>
      </c>
      <c r="L12">
        <v>1</v>
      </c>
    </row>
    <row r="13" spans="1:12" ht="12.75">
      <c r="A13" t="s">
        <v>1056</v>
      </c>
      <c r="B13">
        <v>39</v>
      </c>
      <c r="C13">
        <f>'III.B.II'!A20</f>
        <v>0</v>
      </c>
      <c r="D13">
        <f>'III.B.II'!A23</f>
        <v>0</v>
      </c>
      <c r="E13" t="s">
        <v>1676</v>
      </c>
      <c r="F13">
        <v>3</v>
      </c>
      <c r="G13">
        <v>3</v>
      </c>
      <c r="H13">
        <v>4</v>
      </c>
      <c r="I13">
        <v>4</v>
      </c>
      <c r="J13">
        <v>0</v>
      </c>
      <c r="K13">
        <v>1</v>
      </c>
      <c r="L13">
        <v>1</v>
      </c>
    </row>
    <row r="14" spans="1:12" ht="12.75">
      <c r="A14" t="s">
        <v>1056</v>
      </c>
      <c r="B14">
        <v>40</v>
      </c>
      <c r="C14">
        <f>'III.B.II'!A25</f>
        <v>0</v>
      </c>
      <c r="D14">
        <f>'III.B.II'!A28</f>
        <v>0</v>
      </c>
      <c r="E14" t="s">
        <v>1676</v>
      </c>
      <c r="F14">
        <v>3</v>
      </c>
      <c r="G14">
        <v>3</v>
      </c>
      <c r="H14">
        <v>4</v>
      </c>
      <c r="I14">
        <v>4</v>
      </c>
      <c r="J14">
        <v>0</v>
      </c>
      <c r="K14">
        <v>1</v>
      </c>
      <c r="L14">
        <v>1</v>
      </c>
    </row>
    <row r="15" spans="1:12" ht="12.75">
      <c r="A15" t="s">
        <v>1056</v>
      </c>
      <c r="B15">
        <v>53</v>
      </c>
      <c r="C15" s="386">
        <f>'III.C'!A10</f>
        <v>0</v>
      </c>
      <c r="D15" s="386">
        <f>'III.C'!A13</f>
        <v>0</v>
      </c>
      <c r="E15" t="s">
        <v>1677</v>
      </c>
      <c r="F15">
        <v>3</v>
      </c>
      <c r="G15">
        <v>3</v>
      </c>
      <c r="H15">
        <v>4</v>
      </c>
      <c r="I15">
        <v>4</v>
      </c>
      <c r="J15">
        <v>0</v>
      </c>
      <c r="K15">
        <v>1</v>
      </c>
      <c r="L15">
        <v>1</v>
      </c>
    </row>
    <row r="16" spans="1:12" ht="12.75">
      <c r="A16" t="s">
        <v>1056</v>
      </c>
      <c r="B16">
        <v>54</v>
      </c>
      <c r="C16">
        <f>'III.C'!A15</f>
        <v>0</v>
      </c>
      <c r="D16">
        <f>'III.C'!A18</f>
        <v>0</v>
      </c>
      <c r="E16" t="s">
        <v>1677</v>
      </c>
      <c r="F16">
        <v>3</v>
      </c>
      <c r="G16">
        <v>3</v>
      </c>
      <c r="H16">
        <v>4</v>
      </c>
      <c r="I16">
        <v>4</v>
      </c>
      <c r="J16">
        <v>0</v>
      </c>
      <c r="K16">
        <v>1</v>
      </c>
      <c r="L16">
        <v>1</v>
      </c>
    </row>
    <row r="17" spans="1:12" ht="12.75">
      <c r="A17" t="s">
        <v>1056</v>
      </c>
      <c r="B17">
        <v>55</v>
      </c>
      <c r="C17">
        <f>'III.C'!A20</f>
        <v>0</v>
      </c>
      <c r="D17">
        <f>'III.C'!A23</f>
        <v>0</v>
      </c>
      <c r="E17" t="s">
        <v>1677</v>
      </c>
      <c r="F17">
        <v>3</v>
      </c>
      <c r="G17">
        <v>3</v>
      </c>
      <c r="H17">
        <v>4</v>
      </c>
      <c r="I17">
        <v>4</v>
      </c>
      <c r="J17">
        <v>0</v>
      </c>
      <c r="K17">
        <v>1</v>
      </c>
      <c r="L17">
        <v>1</v>
      </c>
    </row>
    <row r="18" spans="1:20" ht="12.75">
      <c r="A18" t="s">
        <v>1056</v>
      </c>
      <c r="B18" s="320">
        <v>74</v>
      </c>
      <c r="C18" s="851">
        <f>'III.F'!A10</f>
        <v>0</v>
      </c>
      <c r="D18" s="851">
        <f>'III.F'!A13</f>
        <v>0</v>
      </c>
      <c r="E18" s="852" t="s">
        <v>1678</v>
      </c>
      <c r="F18" s="320">
        <v>3</v>
      </c>
      <c r="G18" s="320">
        <v>3</v>
      </c>
      <c r="H18" s="320">
        <v>4</v>
      </c>
      <c r="I18" s="320">
        <v>4</v>
      </c>
      <c r="J18">
        <v>0</v>
      </c>
      <c r="K18">
        <v>1</v>
      </c>
      <c r="L18" s="320">
        <v>1</v>
      </c>
      <c r="M18" s="320"/>
      <c r="T18" s="852"/>
    </row>
    <row r="19" spans="1:20" ht="12.75">
      <c r="A19" t="s">
        <v>1056</v>
      </c>
      <c r="B19" s="320">
        <v>75</v>
      </c>
      <c r="C19" s="320">
        <f>'III.F'!A15</f>
        <v>0</v>
      </c>
      <c r="D19" s="320">
        <f>'III.F'!A18</f>
        <v>0</v>
      </c>
      <c r="E19" s="852" t="s">
        <v>1678</v>
      </c>
      <c r="F19" s="320">
        <v>3</v>
      </c>
      <c r="G19" s="320">
        <v>3</v>
      </c>
      <c r="H19" s="320">
        <v>4</v>
      </c>
      <c r="I19" s="320">
        <v>4</v>
      </c>
      <c r="J19">
        <v>0</v>
      </c>
      <c r="K19">
        <v>1</v>
      </c>
      <c r="L19" s="320">
        <v>1</v>
      </c>
      <c r="M19" s="320"/>
      <c r="T19" s="852"/>
    </row>
    <row r="20" spans="1:20" ht="12.75">
      <c r="A20" t="s">
        <v>1056</v>
      </c>
      <c r="B20" s="320">
        <v>76</v>
      </c>
      <c r="C20" s="320">
        <f>'III.F'!A20</f>
        <v>0</v>
      </c>
      <c r="D20" s="320">
        <f>'III.F'!A23</f>
        <v>0</v>
      </c>
      <c r="E20" s="852" t="s">
        <v>1678</v>
      </c>
      <c r="F20" s="320">
        <v>3</v>
      </c>
      <c r="G20" s="320">
        <v>3</v>
      </c>
      <c r="H20" s="320">
        <v>4</v>
      </c>
      <c r="I20" s="320">
        <v>4</v>
      </c>
      <c r="J20">
        <v>0</v>
      </c>
      <c r="K20">
        <v>1</v>
      </c>
      <c r="L20" s="320">
        <v>1</v>
      </c>
      <c r="M20" s="320"/>
      <c r="T20" s="852"/>
    </row>
    <row r="21" spans="1:20" ht="12.75">
      <c r="A21" t="s">
        <v>1056</v>
      </c>
      <c r="B21">
        <v>78</v>
      </c>
      <c r="C21" s="386">
        <f>'III.F'!A28</f>
        <v>0</v>
      </c>
      <c r="D21" s="386">
        <f>'III.F'!A31</f>
        <v>0</v>
      </c>
      <c r="E21" s="852" t="s">
        <v>1678</v>
      </c>
      <c r="F21" s="320">
        <v>3</v>
      </c>
      <c r="G21">
        <v>3</v>
      </c>
      <c r="H21" s="320">
        <v>4</v>
      </c>
      <c r="I21" s="320">
        <v>4</v>
      </c>
      <c r="J21">
        <v>0</v>
      </c>
      <c r="K21">
        <v>1</v>
      </c>
      <c r="L21">
        <v>1</v>
      </c>
      <c r="T21" s="852"/>
    </row>
    <row r="22" spans="1:20" ht="12.75">
      <c r="A22" t="s">
        <v>1056</v>
      </c>
      <c r="B22">
        <v>79</v>
      </c>
      <c r="C22">
        <f>'III.F'!A33</f>
        <v>0</v>
      </c>
      <c r="D22">
        <f>'III.F'!A36</f>
        <v>0</v>
      </c>
      <c r="E22" s="852" t="s">
        <v>1678</v>
      </c>
      <c r="F22" s="320">
        <v>3</v>
      </c>
      <c r="G22">
        <v>3</v>
      </c>
      <c r="H22" s="320">
        <v>4</v>
      </c>
      <c r="I22" s="320">
        <v>4</v>
      </c>
      <c r="J22">
        <v>0</v>
      </c>
      <c r="K22">
        <v>1</v>
      </c>
      <c r="L22">
        <v>1</v>
      </c>
      <c r="T22" s="852"/>
    </row>
    <row r="23" spans="1:20" ht="12.75">
      <c r="A23" t="s">
        <v>1056</v>
      </c>
      <c r="B23">
        <v>80</v>
      </c>
      <c r="C23">
        <f>'III.F'!A38</f>
        <v>0</v>
      </c>
      <c r="D23">
        <f>'III.F'!A41</f>
        <v>0</v>
      </c>
      <c r="E23" s="852" t="s">
        <v>1678</v>
      </c>
      <c r="F23" s="320">
        <v>3</v>
      </c>
      <c r="G23">
        <v>3</v>
      </c>
      <c r="H23" s="320">
        <v>4</v>
      </c>
      <c r="I23" s="320">
        <v>4</v>
      </c>
      <c r="J23">
        <v>0</v>
      </c>
      <c r="K23">
        <v>1</v>
      </c>
      <c r="L23">
        <v>1</v>
      </c>
      <c r="T23" s="852"/>
    </row>
    <row r="24" spans="1:20" ht="12.75">
      <c r="A24" t="s">
        <v>1056</v>
      </c>
      <c r="B24">
        <v>81</v>
      </c>
      <c r="C24">
        <f>'III.F'!A43</f>
        <v>0</v>
      </c>
      <c r="D24">
        <f>'III.F'!A46</f>
        <v>0</v>
      </c>
      <c r="E24" s="852" t="s">
        <v>1678</v>
      </c>
      <c r="F24" s="320">
        <v>3</v>
      </c>
      <c r="G24">
        <v>3</v>
      </c>
      <c r="H24" s="320">
        <v>4</v>
      </c>
      <c r="I24" s="320">
        <v>4</v>
      </c>
      <c r="J24">
        <v>0</v>
      </c>
      <c r="K24">
        <v>1</v>
      </c>
      <c r="L24">
        <v>1</v>
      </c>
      <c r="T24" s="852"/>
    </row>
    <row r="25" spans="1:20" ht="12.75">
      <c r="A25" t="s">
        <v>1056</v>
      </c>
      <c r="B25">
        <v>82</v>
      </c>
      <c r="C25">
        <f>'III.F'!A48</f>
        <v>0</v>
      </c>
      <c r="D25">
        <f>'III.F'!A51</f>
        <v>0</v>
      </c>
      <c r="E25" s="852" t="s">
        <v>1678</v>
      </c>
      <c r="F25" s="320">
        <v>3</v>
      </c>
      <c r="G25">
        <v>3</v>
      </c>
      <c r="H25" s="320">
        <v>4</v>
      </c>
      <c r="I25" s="320">
        <v>4</v>
      </c>
      <c r="J25">
        <v>0</v>
      </c>
      <c r="K25">
        <v>1</v>
      </c>
      <c r="L25">
        <v>1</v>
      </c>
      <c r="T25" s="852"/>
    </row>
    <row r="26" spans="1:20" ht="12.75">
      <c r="A26" t="s">
        <v>1056</v>
      </c>
      <c r="B26">
        <v>83</v>
      </c>
      <c r="C26">
        <f>'III.F'!A53</f>
        <v>0</v>
      </c>
      <c r="D26">
        <f>'III.F'!A56</f>
        <v>0</v>
      </c>
      <c r="E26" s="852" t="s">
        <v>1678</v>
      </c>
      <c r="F26" s="320">
        <v>3</v>
      </c>
      <c r="G26">
        <v>3</v>
      </c>
      <c r="H26" s="320">
        <v>4</v>
      </c>
      <c r="I26" s="320">
        <v>4</v>
      </c>
      <c r="J26">
        <v>0</v>
      </c>
      <c r="K26">
        <v>1</v>
      </c>
      <c r="L26">
        <v>1</v>
      </c>
      <c r="T26" s="852"/>
    </row>
    <row r="27" spans="1:20" ht="12.75">
      <c r="A27" t="s">
        <v>1056</v>
      </c>
      <c r="B27">
        <v>84</v>
      </c>
      <c r="C27">
        <f>'III.F'!A58</f>
        <v>0</v>
      </c>
      <c r="D27">
        <f>'III.F'!A61</f>
        <v>0</v>
      </c>
      <c r="E27" s="852" t="s">
        <v>1678</v>
      </c>
      <c r="F27" s="320">
        <v>3</v>
      </c>
      <c r="G27">
        <v>3</v>
      </c>
      <c r="H27" s="320">
        <v>4</v>
      </c>
      <c r="I27" s="320">
        <v>4</v>
      </c>
      <c r="J27">
        <v>0</v>
      </c>
      <c r="K27">
        <v>1</v>
      </c>
      <c r="L27">
        <v>1</v>
      </c>
      <c r="T27" s="852"/>
    </row>
    <row r="28" spans="1:20" ht="12.75">
      <c r="A28" t="s">
        <v>1056</v>
      </c>
      <c r="B28">
        <v>85</v>
      </c>
      <c r="C28">
        <f>'III.F'!A63</f>
        <v>0</v>
      </c>
      <c r="D28">
        <f>'III.F'!A66</f>
        <v>0</v>
      </c>
      <c r="E28" s="852" t="s">
        <v>1678</v>
      </c>
      <c r="F28" s="320">
        <v>3</v>
      </c>
      <c r="G28">
        <v>3</v>
      </c>
      <c r="H28" s="320">
        <v>4</v>
      </c>
      <c r="I28" s="320">
        <v>4</v>
      </c>
      <c r="J28">
        <v>0</v>
      </c>
      <c r="K28">
        <v>1</v>
      </c>
      <c r="L28">
        <v>1</v>
      </c>
      <c r="T28" s="852"/>
    </row>
    <row r="29" spans="1:20" ht="12.75">
      <c r="A29" t="s">
        <v>1056</v>
      </c>
      <c r="B29">
        <v>87</v>
      </c>
      <c r="C29">
        <f>'III.F'!A71</f>
        <v>0</v>
      </c>
      <c r="D29">
        <f>'III.F'!A74</f>
        <v>0</v>
      </c>
      <c r="E29" s="852" t="s">
        <v>1678</v>
      </c>
      <c r="F29">
        <v>3</v>
      </c>
      <c r="G29">
        <v>3</v>
      </c>
      <c r="H29" s="320">
        <v>4</v>
      </c>
      <c r="I29" s="320">
        <v>4</v>
      </c>
      <c r="J29">
        <v>0</v>
      </c>
      <c r="K29">
        <v>1</v>
      </c>
      <c r="L29">
        <v>1</v>
      </c>
      <c r="T29" s="852"/>
    </row>
    <row r="30" spans="1:20" ht="12.75">
      <c r="A30" t="s">
        <v>1056</v>
      </c>
      <c r="B30">
        <v>89</v>
      </c>
      <c r="C30">
        <f>'III.F'!A76</f>
        <v>0</v>
      </c>
      <c r="D30">
        <f>'III.F'!A79</f>
        <v>0</v>
      </c>
      <c r="E30" s="852" t="s">
        <v>1678</v>
      </c>
      <c r="F30">
        <v>3</v>
      </c>
      <c r="G30">
        <v>3</v>
      </c>
      <c r="H30" s="320">
        <v>4</v>
      </c>
      <c r="I30" s="320">
        <v>4</v>
      </c>
      <c r="J30">
        <v>0</v>
      </c>
      <c r="K30">
        <v>1</v>
      </c>
      <c r="L30">
        <v>1</v>
      </c>
      <c r="T30" s="852"/>
    </row>
    <row r="31" spans="1:20" ht="12.75">
      <c r="A31" t="s">
        <v>1056</v>
      </c>
      <c r="B31">
        <v>90</v>
      </c>
      <c r="C31">
        <f>'III.F'!A81</f>
        <v>0</v>
      </c>
      <c r="D31">
        <f>'III.F'!A84</f>
        <v>0</v>
      </c>
      <c r="E31" s="852" t="s">
        <v>1678</v>
      </c>
      <c r="F31">
        <v>3</v>
      </c>
      <c r="G31">
        <v>3</v>
      </c>
      <c r="H31" s="320">
        <v>4</v>
      </c>
      <c r="I31" s="320">
        <v>4</v>
      </c>
      <c r="J31">
        <v>0</v>
      </c>
      <c r="K31">
        <v>1</v>
      </c>
      <c r="L31">
        <v>1</v>
      </c>
      <c r="T31" s="852"/>
    </row>
    <row r="32" spans="1:20" ht="12.75">
      <c r="A32" t="s">
        <v>1056</v>
      </c>
      <c r="B32">
        <v>92</v>
      </c>
      <c r="C32">
        <f>'III.F'!A91</f>
        <v>0</v>
      </c>
      <c r="D32">
        <f>'III.F'!A94</f>
        <v>0</v>
      </c>
      <c r="E32" s="852" t="s">
        <v>1678</v>
      </c>
      <c r="F32">
        <v>3</v>
      </c>
      <c r="G32">
        <v>3</v>
      </c>
      <c r="H32" s="320">
        <v>4</v>
      </c>
      <c r="I32" s="320">
        <v>4</v>
      </c>
      <c r="J32">
        <v>0</v>
      </c>
      <c r="K32">
        <v>1</v>
      </c>
      <c r="L32">
        <v>1</v>
      </c>
      <c r="T32" s="852"/>
    </row>
    <row r="33" spans="1:20" ht="12.75">
      <c r="A33" t="s">
        <v>1056</v>
      </c>
      <c r="B33">
        <v>93</v>
      </c>
      <c r="C33">
        <f>'III.F'!A96</f>
        <v>0</v>
      </c>
      <c r="D33">
        <f>'III.F'!A99</f>
        <v>0</v>
      </c>
      <c r="E33" s="852" t="s">
        <v>1678</v>
      </c>
      <c r="F33">
        <v>3</v>
      </c>
      <c r="G33">
        <v>3</v>
      </c>
      <c r="H33" s="320">
        <v>4</v>
      </c>
      <c r="I33" s="320">
        <v>4</v>
      </c>
      <c r="J33">
        <v>0</v>
      </c>
      <c r="K33">
        <v>1</v>
      </c>
      <c r="L33">
        <v>1</v>
      </c>
      <c r="T33" s="852"/>
    </row>
    <row r="34" spans="1:20" ht="12.75">
      <c r="A34" t="s">
        <v>1056</v>
      </c>
      <c r="B34">
        <v>94</v>
      </c>
      <c r="C34">
        <f>'III.F'!A101</f>
        <v>0</v>
      </c>
      <c r="D34">
        <f>'III.F'!A104</f>
        <v>0</v>
      </c>
      <c r="E34" s="852" t="s">
        <v>1678</v>
      </c>
      <c r="F34">
        <v>3</v>
      </c>
      <c r="G34">
        <v>3</v>
      </c>
      <c r="H34" s="320">
        <v>4</v>
      </c>
      <c r="I34" s="320">
        <v>4</v>
      </c>
      <c r="J34">
        <v>0</v>
      </c>
      <c r="K34">
        <v>1</v>
      </c>
      <c r="L34">
        <v>1</v>
      </c>
      <c r="T34" s="852"/>
    </row>
    <row r="35" spans="1:20" ht="12.75">
      <c r="A35" t="s">
        <v>1056</v>
      </c>
      <c r="B35">
        <v>95</v>
      </c>
      <c r="C35">
        <f>'III.F'!A106</f>
        <v>0</v>
      </c>
      <c r="D35">
        <f>'III.F'!A109</f>
        <v>0</v>
      </c>
      <c r="E35" s="852" t="s">
        <v>1678</v>
      </c>
      <c r="F35">
        <v>3</v>
      </c>
      <c r="G35">
        <v>3</v>
      </c>
      <c r="H35" s="320">
        <v>4</v>
      </c>
      <c r="I35" s="320">
        <v>4</v>
      </c>
      <c r="J35">
        <v>0</v>
      </c>
      <c r="K35">
        <v>1</v>
      </c>
      <c r="L35">
        <v>1</v>
      </c>
      <c r="T35" s="852"/>
    </row>
    <row r="36" spans="1:12" ht="12.75">
      <c r="A36" t="s">
        <v>1056</v>
      </c>
      <c r="B36">
        <v>99</v>
      </c>
      <c r="C36" s="386">
        <f>'III.G'!A10</f>
        <v>0</v>
      </c>
      <c r="D36" s="386">
        <f>'III.G'!A13</f>
        <v>0</v>
      </c>
      <c r="E36" t="s">
        <v>1492</v>
      </c>
      <c r="F36">
        <v>3</v>
      </c>
      <c r="G36">
        <v>3</v>
      </c>
      <c r="H36">
        <v>4</v>
      </c>
      <c r="I36">
        <v>4</v>
      </c>
      <c r="J36">
        <v>0</v>
      </c>
      <c r="K36">
        <v>1</v>
      </c>
      <c r="L36">
        <v>1</v>
      </c>
    </row>
    <row r="37" spans="1:12" ht="12.75">
      <c r="A37" t="s">
        <v>1056</v>
      </c>
      <c r="B37">
        <v>100</v>
      </c>
      <c r="C37">
        <f>'III.G'!A15</f>
        <v>0</v>
      </c>
      <c r="D37">
        <f>'III.G'!A18</f>
        <v>0</v>
      </c>
      <c r="E37" t="s">
        <v>1492</v>
      </c>
      <c r="F37">
        <v>3</v>
      </c>
      <c r="G37">
        <v>3</v>
      </c>
      <c r="H37">
        <v>4</v>
      </c>
      <c r="I37">
        <v>4</v>
      </c>
      <c r="J37">
        <v>0</v>
      </c>
      <c r="K37">
        <v>1</v>
      </c>
      <c r="L37">
        <v>1</v>
      </c>
    </row>
    <row r="38" spans="1:12" ht="12.75">
      <c r="A38" t="s">
        <v>1056</v>
      </c>
      <c r="B38">
        <v>101</v>
      </c>
      <c r="C38">
        <f>'III.G'!A20</f>
        <v>0</v>
      </c>
      <c r="D38">
        <f>'III.G'!A23</f>
        <v>0</v>
      </c>
      <c r="E38" t="s">
        <v>1492</v>
      </c>
      <c r="F38">
        <v>3</v>
      </c>
      <c r="G38">
        <v>3</v>
      </c>
      <c r="H38">
        <v>4</v>
      </c>
      <c r="I38">
        <v>4</v>
      </c>
      <c r="J38">
        <v>0</v>
      </c>
      <c r="K38">
        <v>1</v>
      </c>
      <c r="L38">
        <v>1</v>
      </c>
    </row>
    <row r="39" spans="1:12" ht="12.75">
      <c r="A39" t="s">
        <v>1057</v>
      </c>
      <c r="B39">
        <v>42</v>
      </c>
      <c r="C39" s="386">
        <f>'III.H.I'!A23</f>
        <v>0</v>
      </c>
      <c r="D39" s="386">
        <f>'III.H.I'!A26</f>
        <v>0</v>
      </c>
      <c r="E39" t="s">
        <v>1493</v>
      </c>
      <c r="F39">
        <v>3</v>
      </c>
      <c r="G39">
        <v>3</v>
      </c>
      <c r="H39">
        <v>4</v>
      </c>
      <c r="I39">
        <v>4</v>
      </c>
      <c r="J39">
        <v>0</v>
      </c>
      <c r="K39">
        <v>1</v>
      </c>
      <c r="L39">
        <v>0</v>
      </c>
    </row>
    <row r="40" spans="1:12" ht="12.75">
      <c r="A40" t="s">
        <v>1057</v>
      </c>
      <c r="B40">
        <v>43</v>
      </c>
      <c r="C40" s="386">
        <f>'III.H.I'!A28</f>
        <v>0</v>
      </c>
      <c r="D40" s="386">
        <f>'III.H.I'!A31</f>
        <v>0</v>
      </c>
      <c r="E40" t="s">
        <v>1493</v>
      </c>
      <c r="F40">
        <v>3</v>
      </c>
      <c r="G40">
        <v>3</v>
      </c>
      <c r="H40">
        <v>4</v>
      </c>
      <c r="I40">
        <v>4</v>
      </c>
      <c r="J40">
        <v>0</v>
      </c>
      <c r="K40">
        <v>1</v>
      </c>
      <c r="L40">
        <v>0</v>
      </c>
    </row>
    <row r="41" spans="1:12" ht="12.75">
      <c r="A41" t="s">
        <v>1057</v>
      </c>
      <c r="B41">
        <v>1</v>
      </c>
      <c r="C41" s="386">
        <f>'III.H.II'!A11</f>
        <v>0</v>
      </c>
      <c r="D41" s="386">
        <f>'III.H.II'!A13</f>
        <v>0</v>
      </c>
      <c r="E41" t="s">
        <v>1278</v>
      </c>
      <c r="F41">
        <v>0</v>
      </c>
      <c r="G41">
        <v>0</v>
      </c>
      <c r="H41">
        <v>4</v>
      </c>
      <c r="I41">
        <v>4</v>
      </c>
      <c r="J41">
        <v>0</v>
      </c>
      <c r="K41">
        <v>1</v>
      </c>
      <c r="L41">
        <v>0</v>
      </c>
    </row>
    <row r="42" spans="1:12" ht="12.75">
      <c r="A42" t="s">
        <v>1057</v>
      </c>
      <c r="B42">
        <v>2</v>
      </c>
      <c r="C42">
        <f>'III.H.II'!A14</f>
        <v>0</v>
      </c>
      <c r="D42">
        <f>'III.H.II'!A16</f>
        <v>0</v>
      </c>
      <c r="E42" t="s">
        <v>1278</v>
      </c>
      <c r="F42">
        <v>0</v>
      </c>
      <c r="G42">
        <v>0</v>
      </c>
      <c r="H42">
        <v>4</v>
      </c>
      <c r="I42">
        <v>4</v>
      </c>
      <c r="J42">
        <v>0</v>
      </c>
      <c r="K42">
        <v>1</v>
      </c>
      <c r="L42">
        <v>0</v>
      </c>
    </row>
    <row r="54" spans="3:4" ht="12.75">
      <c r="C54" s="386"/>
      <c r="D54" s="386"/>
    </row>
    <row r="55" spans="3:4" ht="12.75">
      <c r="C55" s="386"/>
      <c r="D55" s="386"/>
    </row>
    <row r="56" spans="3:4" ht="12.75">
      <c r="C56" s="386"/>
      <c r="D56" s="386"/>
    </row>
    <row r="63" spans="3:4" ht="12.75">
      <c r="C63" s="386"/>
      <c r="D63" s="386"/>
    </row>
    <row r="64" spans="3:4" ht="12.75">
      <c r="C64" s="386"/>
      <c r="D64" s="386"/>
    </row>
    <row r="65" spans="3:4" ht="12.75">
      <c r="C65" s="386"/>
      <c r="D65" s="386"/>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codeName="Munka16"/>
  <dimension ref="A3:U48"/>
  <sheetViews>
    <sheetView showGridLines="0" workbookViewId="0" topLeftCell="A1">
      <selection activeCell="AC31" sqref="AC31"/>
    </sheetView>
  </sheetViews>
  <sheetFormatPr defaultColWidth="9.00390625" defaultRowHeight="12.75"/>
  <cols>
    <col min="1" max="17" width="2.75390625" style="4" customWidth="1"/>
    <col min="18" max="20" width="9.125" style="4" customWidth="1"/>
    <col min="21" max="21" width="11.75390625" style="4" customWidth="1"/>
    <col min="22" max="16384" width="9.125" style="4" customWidth="1"/>
  </cols>
  <sheetData>
    <row r="2" ht="13.5" thickBot="1"/>
    <row r="3" spans="1:17" ht="13.5" thickBot="1">
      <c r="A3" s="20" t="str">
        <f>'Beszámoló Fedlap'!A3</f>
        <v>1</v>
      </c>
      <c r="B3" s="21" t="str">
        <f>'Beszámoló Fedlap'!B3</f>
        <v>1</v>
      </c>
      <c r="C3" s="21" t="str">
        <f>'Beszámoló Fedlap'!C3</f>
        <v>1</v>
      </c>
      <c r="D3" s="21" t="str">
        <f>'Beszámoló Fedlap'!D3</f>
        <v>8</v>
      </c>
      <c r="E3" s="21" t="str">
        <f>'Beszámoló Fedlap'!E3</f>
        <v>3</v>
      </c>
      <c r="F3" s="21" t="str">
        <f>'Beszámoló Fedlap'!F3</f>
        <v>8</v>
      </c>
      <c r="G3" s="21" t="str">
        <f>'Beszámoló Fedlap'!G3</f>
        <v>5</v>
      </c>
      <c r="H3" s="21" t="str">
        <f>'Beszámoló Fedlap'!H3</f>
        <v>5</v>
      </c>
      <c r="I3" s="20" t="str">
        <f>'Beszámoló Fedlap'!I3</f>
        <v>3</v>
      </c>
      <c r="J3" s="21" t="str">
        <f>'Beszámoló Fedlap'!J3</f>
        <v>5</v>
      </c>
      <c r="K3" s="21" t="str">
        <f>'Beszámoló Fedlap'!K3</f>
        <v>3</v>
      </c>
      <c r="L3" s="21" t="str">
        <f>'Beszámoló Fedlap'!L3</f>
        <v>0</v>
      </c>
      <c r="M3" s="20" t="str">
        <f>'Beszámoló Fedlap'!M3</f>
        <v>1</v>
      </c>
      <c r="N3" s="21" t="str">
        <f>'Beszámoló Fedlap'!N3</f>
        <v>1</v>
      </c>
      <c r="O3" s="21" t="str">
        <f>'Beszámoló Fedlap'!O3</f>
        <v>3</v>
      </c>
      <c r="P3" s="20" t="str">
        <f>'Beszámoló Fedlap'!P3</f>
        <v>1</v>
      </c>
      <c r="Q3" s="22" t="str">
        <f>'Beszámoló Fedlap'!Q3</f>
        <v>1</v>
      </c>
    </row>
    <row r="4" spans="1:17" ht="12.75">
      <c r="A4" s="45" t="str">
        <f>'Beszámoló Fedlap'!A4</f>
        <v>Statitsztikai számjel</v>
      </c>
      <c r="B4" s="28"/>
      <c r="C4" s="28"/>
      <c r="D4" s="28"/>
      <c r="E4" s="28"/>
      <c r="F4" s="28"/>
      <c r="G4" s="28"/>
      <c r="H4" s="28"/>
      <c r="I4" s="28"/>
      <c r="J4" s="28"/>
      <c r="K4" s="28"/>
      <c r="L4" s="28"/>
      <c r="M4" s="28"/>
      <c r="N4" s="28"/>
      <c r="O4" s="28"/>
      <c r="P4" s="28"/>
      <c r="Q4" s="28"/>
    </row>
    <row r="5" ht="13.5" thickBot="1"/>
    <row r="6" spans="1:17" ht="13.5" thickBot="1">
      <c r="A6" s="20" t="str">
        <f>'Beszámoló Fedlap'!A6</f>
        <v>1</v>
      </c>
      <c r="B6" s="21" t="str">
        <f>'Beszámoló Fedlap'!B6</f>
        <v>1</v>
      </c>
      <c r="C6" s="21" t="str">
        <f>'Beszámoló Fedlap'!C6</f>
        <v>-</v>
      </c>
      <c r="D6" s="21" t="str">
        <f>'Beszámoló Fedlap'!D6</f>
        <v>0</v>
      </c>
      <c r="E6" s="21" t="str">
        <f>'Beszámoló Fedlap'!E6</f>
        <v>9</v>
      </c>
      <c r="F6" s="21" t="str">
        <f>'Beszámoló Fedlap'!F6</f>
        <v>-</v>
      </c>
      <c r="G6" s="21" t="str">
        <f>'Beszámoló Fedlap'!G6</f>
        <v>0</v>
      </c>
      <c r="H6" s="21" t="str">
        <f>'Beszámoló Fedlap'!H6</f>
        <v>0</v>
      </c>
      <c r="I6" s="21" t="str">
        <f>'Beszámoló Fedlap'!I6</f>
        <v>2</v>
      </c>
      <c r="J6" s="21" t="str">
        <f>'Beszámoló Fedlap'!J6</f>
        <v>7</v>
      </c>
      <c r="K6" s="21" t="str">
        <f>'Beszámoló Fedlap'!K6</f>
        <v>0</v>
      </c>
      <c r="L6" s="22" t="str">
        <f>'Beszámoló Fedlap'!L6</f>
        <v>0</v>
      </c>
      <c r="M6" s="46"/>
      <c r="N6" s="46"/>
      <c r="O6" s="46"/>
      <c r="P6" s="46"/>
      <c r="Q6" s="46"/>
    </row>
    <row r="7" spans="1:12" ht="12.75">
      <c r="A7" s="45" t="str">
        <f>'Beszámoló Fedlap'!A7</f>
        <v>Cégjegyzék szám</v>
      </c>
      <c r="B7" s="28"/>
      <c r="C7" s="28"/>
      <c r="D7" s="28"/>
      <c r="E7" s="28"/>
      <c r="F7" s="28"/>
      <c r="G7" s="47"/>
      <c r="H7" s="28"/>
      <c r="I7" s="28"/>
      <c r="J7" s="28"/>
      <c r="K7" s="28"/>
      <c r="L7" s="28"/>
    </row>
    <row r="9" spans="1:12" ht="12.75">
      <c r="A9" s="4" t="str">
        <f>'Beszámoló Fedlap'!A9</f>
        <v>Adószám</v>
      </c>
      <c r="G9" s="23"/>
      <c r="L9" s="23" t="str">
        <f>'Beszámoló Fedlap'!L9</f>
        <v>11183855-2-11</v>
      </c>
    </row>
    <row r="12" spans="1:21" ht="12.75">
      <c r="A12" s="93" t="str">
        <f>'Beszámoló Fedlap'!A12</f>
        <v>A vállalkozás megnevezése</v>
      </c>
      <c r="B12" s="94"/>
      <c r="C12" s="1"/>
      <c r="D12" s="1"/>
      <c r="E12" s="1"/>
      <c r="F12" s="1"/>
      <c r="G12" s="1"/>
      <c r="H12" s="1"/>
      <c r="I12" s="1"/>
      <c r="J12" s="1"/>
      <c r="K12" s="1"/>
      <c r="L12" s="339" t="str">
        <f>'Beszámoló Fedlap'!L12</f>
        <v>Komáromi Távhő Kft</v>
      </c>
      <c r="M12" s="24"/>
      <c r="N12" s="24"/>
      <c r="O12" s="24"/>
      <c r="P12" s="24"/>
      <c r="Q12" s="24"/>
      <c r="R12" s="24"/>
      <c r="S12" s="24"/>
      <c r="T12" s="24"/>
      <c r="U12" s="24"/>
    </row>
    <row r="13" ht="12.75">
      <c r="L13" s="623"/>
    </row>
    <row r="14" spans="1:21" ht="12.75">
      <c r="A14" s="93" t="str">
        <f>'Beszámoló Fedlap'!A16</f>
        <v>A vállalkozás székhelye</v>
      </c>
      <c r="B14" s="1"/>
      <c r="C14" s="1"/>
      <c r="D14" s="1"/>
      <c r="E14" s="1"/>
      <c r="F14" s="1"/>
      <c r="G14" s="1"/>
      <c r="H14" s="1"/>
      <c r="I14" s="1"/>
      <c r="J14" s="1"/>
      <c r="K14" s="1"/>
      <c r="L14" s="26" t="str">
        <f>'Beszámoló Fedlap'!L16</f>
        <v>2900 Komárom, Csokonai út 2.</v>
      </c>
      <c r="M14" s="24"/>
      <c r="N14" s="24"/>
      <c r="O14" s="24"/>
      <c r="P14" s="24"/>
      <c r="Q14" s="24"/>
      <c r="R14" s="24"/>
      <c r="S14" s="24"/>
      <c r="T14" s="24"/>
      <c r="U14" s="24"/>
    </row>
    <row r="23" spans="1:21" ht="15.75">
      <c r="A23" s="27"/>
      <c r="B23" s="28"/>
      <c r="C23" s="28"/>
      <c r="D23" s="28"/>
      <c r="E23" s="28"/>
      <c r="F23" s="28"/>
      <c r="G23" s="28"/>
      <c r="H23" s="28"/>
      <c r="I23" s="28"/>
      <c r="J23" s="28"/>
      <c r="K23" s="28"/>
      <c r="L23" s="28"/>
      <c r="M23" s="28"/>
      <c r="N23" s="28"/>
      <c r="O23" s="28"/>
      <c r="P23" s="28"/>
      <c r="Q23" s="28"/>
      <c r="R23" s="28"/>
      <c r="S23" s="28"/>
      <c r="T23" s="28"/>
      <c r="U23" s="28"/>
    </row>
    <row r="25" spans="1:21" ht="25.5" customHeight="1">
      <c r="A25" s="29" t="s">
        <v>507</v>
      </c>
      <c r="B25" s="30"/>
      <c r="C25" s="30"/>
      <c r="D25" s="30"/>
      <c r="E25" s="30"/>
      <c r="F25" s="30"/>
      <c r="G25" s="30"/>
      <c r="H25" s="30"/>
      <c r="I25" s="30"/>
      <c r="J25" s="30"/>
      <c r="K25" s="30"/>
      <c r="L25" s="30"/>
      <c r="M25" s="30"/>
      <c r="N25" s="30"/>
      <c r="O25" s="30"/>
      <c r="P25" s="30"/>
      <c r="Q25" s="30"/>
      <c r="R25" s="30"/>
      <c r="S25" s="30"/>
      <c r="T25" s="30"/>
      <c r="U25" s="30"/>
    </row>
    <row r="26" ht="12.75" customHeight="1"/>
    <row r="27" spans="1:21" ht="25.5" customHeight="1">
      <c r="A27" s="338" t="str">
        <f>'Beszámoló Fedlap'!A28</f>
        <v>2016. december 31.Hőszolgáltatás </v>
      </c>
      <c r="B27" s="28"/>
      <c r="C27" s="28"/>
      <c r="D27" s="28"/>
      <c r="E27" s="28"/>
      <c r="F27" s="28"/>
      <c r="G27" s="28"/>
      <c r="H27" s="28"/>
      <c r="I27" s="28"/>
      <c r="J27" s="28"/>
      <c r="K27" s="28"/>
      <c r="L27" s="28"/>
      <c r="M27" s="28"/>
      <c r="N27" s="28"/>
      <c r="O27" s="28"/>
      <c r="P27" s="28"/>
      <c r="Q27" s="28"/>
      <c r="R27" s="28"/>
      <c r="S27" s="28"/>
      <c r="T27" s="28"/>
      <c r="U27" s="28"/>
    </row>
    <row r="28" ht="12.75" customHeight="1"/>
    <row r="29" spans="1:21" ht="25.5" customHeight="1">
      <c r="A29" s="29" t="str">
        <f>'Beszámoló Fedlap'!A30</f>
        <v>üzleti évről</v>
      </c>
      <c r="B29" s="28"/>
      <c r="C29" s="28"/>
      <c r="D29" s="28"/>
      <c r="E29" s="28"/>
      <c r="F29" s="28"/>
      <c r="G29" s="28"/>
      <c r="H29" s="28"/>
      <c r="I29" s="28"/>
      <c r="J29" s="28"/>
      <c r="K29" s="28"/>
      <c r="L29" s="28"/>
      <c r="M29" s="28"/>
      <c r="N29" s="28"/>
      <c r="O29" s="28"/>
      <c r="P29" s="28"/>
      <c r="Q29" s="28"/>
      <c r="R29" s="28"/>
      <c r="S29" s="28"/>
      <c r="T29" s="28"/>
      <c r="U29" s="28"/>
    </row>
    <row r="30" ht="15.75">
      <c r="M30" s="31"/>
    </row>
    <row r="31" spans="1:21" ht="15">
      <c r="A31" s="123"/>
      <c r="B31" s="123"/>
      <c r="C31" s="123"/>
      <c r="D31" s="123"/>
      <c r="E31" s="123"/>
      <c r="F31" s="123"/>
      <c r="G31" s="123"/>
      <c r="H31" s="123"/>
      <c r="I31" s="123"/>
      <c r="J31" s="123"/>
      <c r="K31" s="123"/>
      <c r="L31" s="123"/>
      <c r="M31" s="123"/>
      <c r="N31" s="123"/>
      <c r="O31" s="123"/>
      <c r="P31" s="123"/>
      <c r="Q31" s="123"/>
      <c r="R31" s="123"/>
      <c r="S31" s="123"/>
      <c r="T31" s="123"/>
      <c r="U31" s="123"/>
    </row>
    <row r="43" spans="1:21" ht="12.75">
      <c r="A43" s="28" t="str">
        <f>'Beszámoló Fedlap'!A44</f>
        <v>      P.H.</v>
      </c>
      <c r="B43" s="28"/>
      <c r="C43" s="28"/>
      <c r="D43" s="28"/>
      <c r="E43" s="28"/>
      <c r="F43" s="28"/>
      <c r="G43" s="28"/>
      <c r="H43" s="28"/>
      <c r="I43" s="28"/>
      <c r="J43" s="28"/>
      <c r="K43" s="28"/>
      <c r="L43" s="28"/>
      <c r="M43" s="28"/>
      <c r="N43" s="28"/>
      <c r="O43" s="28"/>
      <c r="P43" s="28"/>
      <c r="Q43" s="28"/>
      <c r="R43" s="28"/>
      <c r="S43" s="28"/>
      <c r="T43" s="28"/>
      <c r="U43" s="28"/>
    </row>
    <row r="46" spans="2:21" ht="12.75">
      <c r="B46" s="1" t="str">
        <f>Mérleg"A"!A83</f>
        <v>Keltezés:</v>
      </c>
      <c r="E46" s="341" t="str">
        <f>'Beszámoló Fedlap'!E47</f>
        <v>Komárom, 2016.04.29.</v>
      </c>
      <c r="F46" s="24"/>
      <c r="G46" s="24"/>
      <c r="H46" s="24"/>
      <c r="I46" s="24"/>
      <c r="J46" s="24"/>
      <c r="K46" s="24"/>
      <c r="L46" s="24"/>
      <c r="M46" s="24"/>
      <c r="N46" s="24"/>
      <c r="O46" s="24"/>
      <c r="Q46" s="24"/>
      <c r="R46" s="24"/>
      <c r="S46" s="24"/>
      <c r="T46" s="24"/>
      <c r="U46" s="24"/>
    </row>
    <row r="47" spans="17:21" ht="15" customHeight="1">
      <c r="Q47" s="28" t="str">
        <f>'Beszámoló Fedlap'!Q48</f>
        <v>vállalakozás vezetője</v>
      </c>
      <c r="R47" s="28"/>
      <c r="S47" s="28"/>
      <c r="T47" s="28"/>
      <c r="U47" s="28"/>
    </row>
    <row r="48" spans="17:21" ht="12.75">
      <c r="Q48" s="28" t="str">
        <f>'Beszámoló Fedlap'!Q49</f>
        <v>(képviselője)</v>
      </c>
      <c r="R48" s="28"/>
      <c r="S48" s="28"/>
      <c r="T48" s="28"/>
      <c r="U48" s="28"/>
    </row>
  </sheetData>
  <sheetProtection/>
  <printOptions horizontalCentered="1"/>
  <pageMargins left="0.7874015748031497" right="0.7874015748031497" top="0.6" bottom="0.984251968503937" header="0.39" footer="0.5118110236220472"/>
  <pageSetup horizontalDpi="120" verticalDpi="120" orientation="portrait" paperSize="9" r:id="rId1"/>
</worksheet>
</file>

<file path=xl/worksheets/sheet46.xml><?xml version="1.0" encoding="utf-8"?>
<worksheet xmlns="http://schemas.openxmlformats.org/spreadsheetml/2006/main" xmlns:r="http://schemas.openxmlformats.org/officeDocument/2006/relationships">
  <sheetPr codeName="Munka70"/>
  <dimension ref="A1:D27"/>
  <sheetViews>
    <sheetView workbookViewId="0" topLeftCell="A1">
      <pane xSplit="1" ySplit="4" topLeftCell="B5" activePane="bottomRight" state="frozen"/>
      <selection pane="topLeft" activeCell="D66" sqref="D66"/>
      <selection pane="topRight" activeCell="D1" sqref="D1"/>
      <selection pane="bottomLeft" activeCell="A21" sqref="A21"/>
      <selection pane="bottomRight" activeCell="K15" sqref="K15"/>
    </sheetView>
  </sheetViews>
  <sheetFormatPr defaultColWidth="9.00390625" defaultRowHeight="12.75"/>
  <cols>
    <col min="1" max="1" width="28.875" style="1991" customWidth="1"/>
    <col min="2" max="2" width="60.00390625" style="1993" customWidth="1"/>
    <col min="3" max="3" width="15.125" style="1996" customWidth="1"/>
    <col min="4" max="16384" width="9.125" style="1993" customWidth="1"/>
  </cols>
  <sheetData>
    <row r="1" spans="1:4" ht="20.25">
      <c r="A1" s="1990" t="str">
        <f>IF(Általános!$B$19=Általános!$F$8,GLOBAL!B320,IF(Általános!$B$19=Általános!$F$9,GLOBAL!C320,IF(Általános!$B$19=Általános!$F$10,GLOBAL!D320)))</f>
        <v>Tartalomjegyzék</v>
      </c>
      <c r="C1" s="1998" t="str">
        <f>'Beszámoló Fedlap'!L12</f>
        <v>Komáromi Távhő Kft</v>
      </c>
      <c r="D1" s="1992"/>
    </row>
    <row r="2" ht="12.75">
      <c r="C2" s="1999" t="str">
        <f>'Leltár fedlap'!A25&amp;" "&amp;Általános!B15</f>
        <v>Pénzügyi leltár 2016. december 31.Hőszolgáltatás </v>
      </c>
    </row>
    <row r="3" ht="12.75">
      <c r="C3" s="1991"/>
    </row>
    <row r="4" spans="1:3" ht="12.75">
      <c r="A4" s="1995"/>
      <c r="C4" s="1997" t="s">
        <v>375</v>
      </c>
    </row>
    <row r="5" spans="1:3" s="2043" customFormat="1" ht="24.75" customHeight="1">
      <c r="A5" s="2040" t="s">
        <v>649</v>
      </c>
      <c r="B5" s="2041"/>
      <c r="C5" s="2042" t="s">
        <v>369</v>
      </c>
    </row>
    <row r="6" spans="1:3" s="2043" customFormat="1" ht="24.75" customHeight="1">
      <c r="A6" s="2044" t="s">
        <v>1283</v>
      </c>
      <c r="B6" s="2041" t="str">
        <f>'Leltár fedlap'!A25</f>
        <v>Pénzügyi leltár</v>
      </c>
      <c r="C6" s="2042"/>
    </row>
    <row r="7" spans="1:3" s="2043" customFormat="1" ht="24.75" customHeight="1">
      <c r="A7" s="2044" t="s">
        <v>273</v>
      </c>
      <c r="B7" s="2041" t="str">
        <f>'L.A.I'!A3</f>
        <v>L.A.I Immateriális javak</v>
      </c>
      <c r="C7" s="2042"/>
    </row>
    <row r="8" spans="1:3" s="2043" customFormat="1" ht="24.75" customHeight="1">
      <c r="A8" s="2044" t="s">
        <v>274</v>
      </c>
      <c r="B8" s="2041" t="str">
        <f>'L.A.II'!A3</f>
        <v>L.A.II Tárgyi eszközök</v>
      </c>
      <c r="C8" s="2042"/>
    </row>
    <row r="9" spans="1:3" s="2043" customFormat="1" ht="24.75" customHeight="1">
      <c r="A9" s="2044" t="s">
        <v>730</v>
      </c>
      <c r="B9" s="2041" t="str">
        <f>'L.A.III'!A3</f>
        <v>L.A.III Befektetett pénzügyi eszközök</v>
      </c>
      <c r="C9" s="2042"/>
    </row>
    <row r="10" spans="1:3" s="2043" customFormat="1" ht="24.75" customHeight="1">
      <c r="A10" s="2044" t="s">
        <v>27</v>
      </c>
      <c r="B10" s="2041" t="str">
        <f>'L.B.I'!A3</f>
        <v>L.B.I Készletek</v>
      </c>
      <c r="C10" s="2042"/>
    </row>
    <row r="11" spans="1:3" s="2043" customFormat="1" ht="24.75" customHeight="1">
      <c r="A11" s="2044" t="s">
        <v>28</v>
      </c>
      <c r="B11" s="2041" t="str">
        <f>'L.B.II'!A3</f>
        <v>L.B.II Követelések</v>
      </c>
      <c r="C11" s="2042"/>
    </row>
    <row r="12" spans="1:3" s="2043" customFormat="1" ht="24.75" customHeight="1">
      <c r="A12" s="2044" t="s">
        <v>29</v>
      </c>
      <c r="B12" s="2041" t="str">
        <f>'L.B.III'!A3</f>
        <v>L.B.III Értékpapírok</v>
      </c>
      <c r="C12" s="2042"/>
    </row>
    <row r="13" spans="1:3" s="2043" customFormat="1" ht="24.75" customHeight="1">
      <c r="A13" s="2044" t="s">
        <v>1753</v>
      </c>
      <c r="B13" s="2041" t="str">
        <f>'L.B.IV'!A3</f>
        <v>L.B.IV Pénzeszközök</v>
      </c>
      <c r="C13" s="2042"/>
    </row>
    <row r="14" spans="1:3" s="2043" customFormat="1" ht="24.75" customHeight="1">
      <c r="A14" s="2044" t="s">
        <v>1754</v>
      </c>
      <c r="B14" s="2041" t="str">
        <f>'L.C'!A3</f>
        <v>L.C. Aktív időbeli elhatárolások</v>
      </c>
      <c r="C14" s="2042"/>
    </row>
    <row r="15" spans="1:3" s="2043" customFormat="1" ht="24.75" customHeight="1">
      <c r="A15" s="2044" t="s">
        <v>1284</v>
      </c>
      <c r="B15" s="2041" t="str">
        <f>'L.D'!A3</f>
        <v>L.D. Saját tőke változása</v>
      </c>
      <c r="C15" s="2042"/>
    </row>
    <row r="16" spans="1:3" s="2043" customFormat="1" ht="24.75" customHeight="1">
      <c r="A16" s="2044" t="s">
        <v>729</v>
      </c>
      <c r="B16" s="2045" t="str">
        <f>'L.E'!A3</f>
        <v>L.E. Céltartalékok</v>
      </c>
      <c r="C16" s="2042"/>
    </row>
    <row r="17" spans="1:3" s="2043" customFormat="1" ht="24.75" customHeight="1">
      <c r="A17" s="2044" t="s">
        <v>1755</v>
      </c>
      <c r="B17" s="2045" t="str">
        <f>'L.F.I'!A3</f>
        <v>L.F.I. Hátrasorolt kötelezettségek</v>
      </c>
      <c r="C17" s="2042"/>
    </row>
    <row r="18" spans="1:3" s="2043" customFormat="1" ht="24.75" customHeight="1">
      <c r="A18" s="2044" t="s">
        <v>1756</v>
      </c>
      <c r="B18" s="2041" t="str">
        <f>'L.F.II'!A3</f>
        <v>L.F.II. Hosszú lejáratú kötelezettségek</v>
      </c>
      <c r="C18" s="2042"/>
    </row>
    <row r="19" spans="1:3" s="2043" customFormat="1" ht="24.75" customHeight="1">
      <c r="A19" s="2044" t="s">
        <v>1757</v>
      </c>
      <c r="B19" s="2041" t="str">
        <f>'L.F.III'!A3</f>
        <v>L.F.III. Rövid lejáratú kötelezettségek</v>
      </c>
      <c r="C19" s="2042"/>
    </row>
    <row r="20" spans="1:3" s="2043" customFormat="1" ht="24.75" customHeight="1">
      <c r="A20" s="2044" t="s">
        <v>1758</v>
      </c>
      <c r="B20" s="2041" t="str">
        <f>'L.G'!A3</f>
        <v>L.G. Passzív időbeli elhatárolások</v>
      </c>
      <c r="C20" s="2042"/>
    </row>
    <row r="21" spans="1:3" s="2043" customFormat="1" ht="24.75" customHeight="1">
      <c r="A21" s="2044" t="s">
        <v>1759</v>
      </c>
      <c r="B21" s="2041" t="str">
        <f>'L.H.I-VIIA'!A3</f>
        <v>L.H.I-VII. Üzemi (üzleti) tevékenység eredménye (összköltséges)</v>
      </c>
      <c r="C21" s="2042"/>
    </row>
    <row r="22" spans="1:3" s="2043" customFormat="1" ht="24.75" customHeight="1">
      <c r="A22" s="2044" t="s">
        <v>24</v>
      </c>
      <c r="B22" s="2041" t="str">
        <f>'L.H.I-VIIB'!A3</f>
        <v>L.H.I-VII. Üzemi (üzleti) tevékenység eredménye (forgalmi költséges)</v>
      </c>
      <c r="C22" s="2042"/>
    </row>
    <row r="23" spans="1:3" s="2043" customFormat="1" ht="24.75" customHeight="1">
      <c r="A23" s="2044" t="s">
        <v>1760</v>
      </c>
      <c r="B23" s="2041" t="str">
        <f>'L.H.VIII-IX'!A3</f>
        <v>L.H.VIII-IX. Pénzügyi műveletek eredménye</v>
      </c>
      <c r="C23" s="2042"/>
    </row>
    <row r="24" spans="1:3" s="2043" customFormat="1" ht="24.75" customHeight="1">
      <c r="A24" s="2044" t="s">
        <v>1761</v>
      </c>
      <c r="B24" s="2041" t="str">
        <f>'L.H.X-XI'!A3</f>
        <v>L.H.X-XI. Rendkívüli eredmény</v>
      </c>
      <c r="C24" s="2042"/>
    </row>
    <row r="25" ht="12.75">
      <c r="A25" s="1994"/>
    </row>
    <row r="26" ht="12.75">
      <c r="A26" s="1994"/>
    </row>
    <row r="27" ht="12.75">
      <c r="A27" s="1994"/>
    </row>
  </sheetData>
  <sheetProtection/>
  <autoFilter ref="C5:C24"/>
  <printOptions horizontalCentered="1"/>
  <pageMargins left="0.61" right="0.61" top="0.59" bottom="0.59" header="0.38" footer="0.39"/>
  <pageSetup horizontalDpi="120" verticalDpi="120" orientation="portrait" paperSize="9" scale="80" r:id="rId1"/>
</worksheet>
</file>

<file path=xl/worksheets/sheet47.xml><?xml version="1.0" encoding="utf-8"?>
<worksheet xmlns="http://schemas.openxmlformats.org/spreadsheetml/2006/main" xmlns:r="http://schemas.openxmlformats.org/officeDocument/2006/relationships">
  <sheetPr codeName="Munka60"/>
  <dimension ref="A1:Y47"/>
  <sheetViews>
    <sheetView workbookViewId="0" topLeftCell="A1">
      <pane xSplit="2" ySplit="6" topLeftCell="F20" activePane="bottomRight" state="frozen"/>
      <selection pane="topLeft" activeCell="A1" sqref="A1"/>
      <selection pane="topRight" activeCell="C1" sqref="C1"/>
      <selection pane="bottomLeft" activeCell="A7" sqref="A7"/>
      <selection pane="bottomRight" activeCell="G2" sqref="G2"/>
    </sheetView>
  </sheetViews>
  <sheetFormatPr defaultColWidth="9.00390625" defaultRowHeight="12.75"/>
  <cols>
    <col min="1" max="1" width="12.375" style="388" customWidth="1"/>
    <col min="2" max="2" width="24.25390625" style="388" customWidth="1"/>
    <col min="3" max="15" width="10.75390625" style="388" customWidth="1"/>
    <col min="16" max="16384" width="9.125" style="388" customWidth="1"/>
  </cols>
  <sheetData>
    <row r="1" spans="1:19" s="372" customFormat="1" ht="15">
      <c r="A1" s="387" t="str">
        <f>'III.A.I-II'!A1</f>
        <v>Komáromi Távhő Kft</v>
      </c>
      <c r="B1" s="470"/>
      <c r="C1" s="470"/>
      <c r="D1" s="470"/>
      <c r="S1" s="389" t="str">
        <f>'Leltár fedlap'!A25&amp;" "&amp;'Leltár fedlap'!A27</f>
        <v>Pénzügyi leltár 2016. december 31.Hőszolgáltatás </v>
      </c>
    </row>
    <row r="2" spans="1:15" s="372" customFormat="1" ht="15">
      <c r="A2" s="387"/>
      <c r="B2" s="470"/>
      <c r="C2" s="470"/>
      <c r="D2" s="470"/>
      <c r="G2" s="1775" t="s">
        <v>642</v>
      </c>
      <c r="O2" s="389"/>
    </row>
    <row r="3" spans="1:19" s="628" customFormat="1" ht="16.5">
      <c r="A3" s="840" t="s">
        <v>798</v>
      </c>
      <c r="B3" s="571"/>
      <c r="C3" s="571"/>
      <c r="D3" s="571"/>
      <c r="E3" s="571"/>
      <c r="F3" s="571"/>
      <c r="G3" s="571"/>
      <c r="H3" s="571"/>
      <c r="I3" s="571"/>
      <c r="J3" s="571"/>
      <c r="K3" s="393"/>
      <c r="L3" s="393"/>
      <c r="M3" s="393"/>
      <c r="N3" s="393"/>
      <c r="O3" s="393"/>
      <c r="P3" s="393"/>
      <c r="Q3" s="393"/>
      <c r="R3" s="393"/>
      <c r="S3" s="393"/>
    </row>
    <row r="4" ht="13.5" thickBot="1">
      <c r="S4" s="746" t="s">
        <v>1538</v>
      </c>
    </row>
    <row r="5" spans="1:25" s="1254" customFormat="1" ht="27" customHeight="1" thickTop="1">
      <c r="A5" s="2452" t="s">
        <v>1038</v>
      </c>
      <c r="B5" s="2454" t="s">
        <v>41</v>
      </c>
      <c r="C5" s="1251" t="s">
        <v>783</v>
      </c>
      <c r="D5" s="1252"/>
      <c r="E5" s="1252"/>
      <c r="F5" s="1252"/>
      <c r="G5" s="1253"/>
      <c r="H5" s="1251" t="s">
        <v>784</v>
      </c>
      <c r="I5" s="1252"/>
      <c r="J5" s="1252"/>
      <c r="K5" s="1252"/>
      <c r="L5" s="1253"/>
      <c r="M5" s="2441" t="s">
        <v>785</v>
      </c>
      <c r="N5" s="2442"/>
      <c r="O5" s="2442"/>
      <c r="P5" s="2443"/>
      <c r="Q5" s="2444"/>
      <c r="R5" s="2445" t="s">
        <v>1047</v>
      </c>
      <c r="S5" s="2444"/>
      <c r="T5" s="2435" t="s">
        <v>790</v>
      </c>
      <c r="U5" s="2436"/>
      <c r="V5" s="2437" t="s">
        <v>788</v>
      </c>
      <c r="W5" s="2438"/>
      <c r="X5" s="2437" t="s">
        <v>789</v>
      </c>
      <c r="Y5" s="2438"/>
    </row>
    <row r="6" spans="1:25" s="1254" customFormat="1" ht="26.25" customHeight="1" thickBot="1">
      <c r="A6" s="2453"/>
      <c r="B6" s="2455"/>
      <c r="C6" s="982" t="s">
        <v>603</v>
      </c>
      <c r="D6" s="771" t="s">
        <v>1048</v>
      </c>
      <c r="E6" s="771" t="s">
        <v>1049</v>
      </c>
      <c r="F6" s="771" t="s">
        <v>1045</v>
      </c>
      <c r="G6" s="773" t="s">
        <v>922</v>
      </c>
      <c r="H6" s="982" t="s">
        <v>603</v>
      </c>
      <c r="I6" s="771" t="s">
        <v>1048</v>
      </c>
      <c r="J6" s="771" t="s">
        <v>1049</v>
      </c>
      <c r="K6" s="771" t="s">
        <v>1045</v>
      </c>
      <c r="L6" s="773" t="s">
        <v>922</v>
      </c>
      <c r="M6" s="982" t="s">
        <v>603</v>
      </c>
      <c r="N6" s="771" t="s">
        <v>1048</v>
      </c>
      <c r="O6" s="771" t="s">
        <v>1049</v>
      </c>
      <c r="P6" s="771" t="s">
        <v>1045</v>
      </c>
      <c r="Q6" s="773" t="s">
        <v>922</v>
      </c>
      <c r="R6" s="1255" t="s">
        <v>603</v>
      </c>
      <c r="S6" s="1256" t="s">
        <v>922</v>
      </c>
      <c r="T6" s="1255" t="s">
        <v>603</v>
      </c>
      <c r="U6" s="1331" t="s">
        <v>922</v>
      </c>
      <c r="V6" s="1336" t="s">
        <v>603</v>
      </c>
      <c r="W6" s="1257" t="s">
        <v>922</v>
      </c>
      <c r="X6" s="1336" t="s">
        <v>603</v>
      </c>
      <c r="Y6" s="1257" t="s">
        <v>922</v>
      </c>
    </row>
    <row r="7" spans="1:25" s="1260" customFormat="1" ht="21" customHeight="1" hidden="1">
      <c r="A7" s="1346"/>
      <c r="B7" s="1347"/>
      <c r="C7" s="1272"/>
      <c r="D7" s="1273"/>
      <c r="E7" s="1273"/>
      <c r="F7" s="1274"/>
      <c r="G7" s="1312">
        <f aca="true" t="shared" si="0" ref="G7:G41">SUM(C7:F7)</f>
        <v>0</v>
      </c>
      <c r="H7" s="1272"/>
      <c r="I7" s="1273"/>
      <c r="J7" s="1273"/>
      <c r="K7" s="1274"/>
      <c r="L7" s="1312">
        <f aca="true" t="shared" si="1" ref="L7:L31">SUM(H7:K7)</f>
        <v>0</v>
      </c>
      <c r="M7" s="1272"/>
      <c r="N7" s="1273"/>
      <c r="O7" s="1273"/>
      <c r="P7" s="1274"/>
      <c r="Q7" s="1312">
        <f aca="true" t="shared" si="2" ref="Q7:Q36">SUM(M7:P7)</f>
        <v>0</v>
      </c>
      <c r="R7" s="1302">
        <f aca="true" t="shared" si="3" ref="R7:R41">C7-H7</f>
        <v>0</v>
      </c>
      <c r="S7" s="1303">
        <f aca="true" t="shared" si="4" ref="S7:S41">G7-L7</f>
        <v>0</v>
      </c>
      <c r="T7" s="1320"/>
      <c r="U7" s="1332"/>
      <c r="V7" s="1337"/>
      <c r="W7" s="1321"/>
      <c r="X7" s="1337"/>
      <c r="Y7" s="1321"/>
    </row>
    <row r="8" spans="1:25" s="1260" customFormat="1" ht="21" customHeight="1">
      <c r="A8" s="1348"/>
      <c r="B8" s="1349"/>
      <c r="C8" s="1275"/>
      <c r="D8" s="1276"/>
      <c r="E8" s="1276"/>
      <c r="F8" s="1277"/>
      <c r="G8" s="1313">
        <f t="shared" si="0"/>
        <v>0</v>
      </c>
      <c r="H8" s="1275"/>
      <c r="I8" s="1276"/>
      <c r="J8" s="1276"/>
      <c r="K8" s="1277"/>
      <c r="L8" s="1313">
        <f t="shared" si="1"/>
        <v>0</v>
      </c>
      <c r="M8" s="1275"/>
      <c r="N8" s="1276"/>
      <c r="O8" s="1276"/>
      <c r="P8" s="1277"/>
      <c r="Q8" s="1313">
        <f t="shared" si="2"/>
        <v>0</v>
      </c>
      <c r="R8" s="1304">
        <f t="shared" si="3"/>
        <v>0</v>
      </c>
      <c r="S8" s="1305">
        <f t="shared" si="4"/>
        <v>0</v>
      </c>
      <c r="T8" s="1322"/>
      <c r="U8" s="1333"/>
      <c r="V8" s="1338"/>
      <c r="W8" s="1323"/>
      <c r="X8" s="1338"/>
      <c r="Y8" s="1323"/>
    </row>
    <row r="9" spans="1:25" s="1260" customFormat="1" ht="21" customHeight="1">
      <c r="A9" s="1348"/>
      <c r="B9" s="1349"/>
      <c r="C9" s="1275"/>
      <c r="D9" s="1276"/>
      <c r="E9" s="1276"/>
      <c r="F9" s="1277"/>
      <c r="G9" s="1313">
        <f t="shared" si="0"/>
        <v>0</v>
      </c>
      <c r="H9" s="1275"/>
      <c r="I9" s="1276"/>
      <c r="J9" s="1276"/>
      <c r="K9" s="1277"/>
      <c r="L9" s="1313">
        <f t="shared" si="1"/>
        <v>0</v>
      </c>
      <c r="M9" s="1275"/>
      <c r="N9" s="1276"/>
      <c r="O9" s="1276"/>
      <c r="P9" s="1277"/>
      <c r="Q9" s="1313"/>
      <c r="R9" s="1304">
        <f>C9-H9</f>
        <v>0</v>
      </c>
      <c r="S9" s="1305">
        <f>G9-L9</f>
        <v>0</v>
      </c>
      <c r="T9" s="1322"/>
      <c r="U9" s="1333"/>
      <c r="V9" s="1338"/>
      <c r="W9" s="1323"/>
      <c r="X9" s="1338"/>
      <c r="Y9" s="1323"/>
    </row>
    <row r="10" spans="1:25" s="1260" customFormat="1" ht="21" customHeight="1" thickBot="1">
      <c r="A10" s="1350"/>
      <c r="B10" s="1351"/>
      <c r="C10" s="1278"/>
      <c r="D10" s="1279"/>
      <c r="E10" s="1279"/>
      <c r="F10" s="1280"/>
      <c r="G10" s="1314">
        <f t="shared" si="0"/>
        <v>0</v>
      </c>
      <c r="H10" s="1278"/>
      <c r="I10" s="1279"/>
      <c r="J10" s="1279"/>
      <c r="K10" s="1280"/>
      <c r="L10" s="1314">
        <f t="shared" si="1"/>
        <v>0</v>
      </c>
      <c r="M10" s="1278"/>
      <c r="N10" s="1279"/>
      <c r="O10" s="1279"/>
      <c r="P10" s="1280"/>
      <c r="Q10" s="1314">
        <f t="shared" si="2"/>
        <v>0</v>
      </c>
      <c r="R10" s="1306">
        <f t="shared" si="3"/>
        <v>0</v>
      </c>
      <c r="S10" s="1307">
        <f t="shared" si="4"/>
        <v>0</v>
      </c>
      <c r="T10" s="1324"/>
      <c r="U10" s="1334"/>
      <c r="V10" s="1339"/>
      <c r="W10" s="1325"/>
      <c r="X10" s="1339"/>
      <c r="Y10" s="1325"/>
    </row>
    <row r="11" spans="1:25" s="1260" customFormat="1" ht="21" customHeight="1" thickBot="1" thickTop="1">
      <c r="A11" s="2446" t="s">
        <v>799</v>
      </c>
      <c r="B11" s="2447"/>
      <c r="C11" s="1318">
        <f>SUM(C7:C10)</f>
        <v>0</v>
      </c>
      <c r="D11" s="1316">
        <f>SUM(D7:D10)</f>
        <v>0</v>
      </c>
      <c r="E11" s="1316">
        <f>SUM(E7:E10)</f>
        <v>0</v>
      </c>
      <c r="F11" s="1317">
        <f>SUM(F7:F10)</f>
        <v>0</v>
      </c>
      <c r="G11" s="1315">
        <f t="shared" si="0"/>
        <v>0</v>
      </c>
      <c r="H11" s="1318">
        <f>SUM(H7:H10)</f>
        <v>0</v>
      </c>
      <c r="I11" s="1316">
        <f>SUM(I7:I10)</f>
        <v>0</v>
      </c>
      <c r="J11" s="1316">
        <f>SUM(J7:J10)</f>
        <v>0</v>
      </c>
      <c r="K11" s="1317">
        <f>SUM(K7:K10)</f>
        <v>0</v>
      </c>
      <c r="L11" s="1315">
        <f t="shared" si="1"/>
        <v>0</v>
      </c>
      <c r="M11" s="1318">
        <f>SUM(M7:M10)</f>
        <v>0</v>
      </c>
      <c r="N11" s="1316">
        <f>SUM(N7:N10)</f>
        <v>0</v>
      </c>
      <c r="O11" s="1316">
        <f>SUM(O7:O10)</f>
        <v>0</v>
      </c>
      <c r="P11" s="1317">
        <f>SUM(P7:P10)</f>
        <v>0</v>
      </c>
      <c r="Q11" s="1315">
        <f t="shared" si="2"/>
        <v>0</v>
      </c>
      <c r="R11" s="1308">
        <f t="shared" si="3"/>
        <v>0</v>
      </c>
      <c r="S11" s="1309">
        <f t="shared" si="4"/>
        <v>0</v>
      </c>
      <c r="T11" s="1326">
        <f>ROUND(R11/1000,0)</f>
        <v>0</v>
      </c>
      <c r="U11" s="1335">
        <f>ROUND(S11/1000,0)</f>
        <v>0</v>
      </c>
      <c r="V11" s="1340"/>
      <c r="W11" s="1341"/>
      <c r="X11" s="1330">
        <f>T11+V11</f>
        <v>0</v>
      </c>
      <c r="Y11" s="1327">
        <f>U11+W11</f>
        <v>0</v>
      </c>
    </row>
    <row r="12" spans="1:25" s="1260" customFormat="1" ht="21" customHeight="1" hidden="1">
      <c r="A12" s="1352"/>
      <c r="B12" s="1353"/>
      <c r="C12" s="1272"/>
      <c r="D12" s="1273"/>
      <c r="E12" s="1273"/>
      <c r="F12" s="1274"/>
      <c r="G12" s="1312">
        <f t="shared" si="0"/>
        <v>0</v>
      </c>
      <c r="H12" s="1272"/>
      <c r="I12" s="1273"/>
      <c r="J12" s="1273"/>
      <c r="K12" s="1274"/>
      <c r="L12" s="1312">
        <f t="shared" si="1"/>
        <v>0</v>
      </c>
      <c r="M12" s="1272"/>
      <c r="N12" s="1273"/>
      <c r="O12" s="1273"/>
      <c r="P12" s="1274"/>
      <c r="Q12" s="1312">
        <f t="shared" si="2"/>
        <v>0</v>
      </c>
      <c r="R12" s="1310">
        <f t="shared" si="3"/>
        <v>0</v>
      </c>
      <c r="S12" s="1311">
        <f t="shared" si="4"/>
        <v>0</v>
      </c>
      <c r="T12" s="1320"/>
      <c r="U12" s="1332"/>
      <c r="V12" s="1337"/>
      <c r="W12" s="1321"/>
      <c r="X12" s="1337"/>
      <c r="Y12" s="1321"/>
    </row>
    <row r="13" spans="1:25" s="1260" customFormat="1" ht="21" customHeight="1">
      <c r="A13" s="1348"/>
      <c r="B13" s="1349"/>
      <c r="C13" s="1275"/>
      <c r="D13" s="1276"/>
      <c r="E13" s="1276"/>
      <c r="F13" s="1277"/>
      <c r="G13" s="1313">
        <f t="shared" si="0"/>
        <v>0</v>
      </c>
      <c r="H13" s="1275"/>
      <c r="I13" s="1276"/>
      <c r="J13" s="1276"/>
      <c r="K13" s="1277"/>
      <c r="L13" s="1313">
        <f t="shared" si="1"/>
        <v>0</v>
      </c>
      <c r="M13" s="1275"/>
      <c r="N13" s="1276"/>
      <c r="O13" s="1276"/>
      <c r="P13" s="1277"/>
      <c r="Q13" s="1313">
        <f t="shared" si="2"/>
        <v>0</v>
      </c>
      <c r="R13" s="1304">
        <f t="shared" si="3"/>
        <v>0</v>
      </c>
      <c r="S13" s="1305">
        <f t="shared" si="4"/>
        <v>0</v>
      </c>
      <c r="T13" s="1322"/>
      <c r="U13" s="1333"/>
      <c r="V13" s="1338"/>
      <c r="W13" s="1323"/>
      <c r="X13" s="1338"/>
      <c r="Y13" s="1323"/>
    </row>
    <row r="14" spans="1:25" s="1260" customFormat="1" ht="21" customHeight="1">
      <c r="A14" s="1348"/>
      <c r="B14" s="1349"/>
      <c r="C14" s="1275"/>
      <c r="D14" s="1276"/>
      <c r="E14" s="1276"/>
      <c r="F14" s="1277"/>
      <c r="G14" s="1313">
        <f t="shared" si="0"/>
        <v>0</v>
      </c>
      <c r="H14" s="1275"/>
      <c r="I14" s="1276"/>
      <c r="J14" s="1276"/>
      <c r="K14" s="1277"/>
      <c r="L14" s="1313">
        <f t="shared" si="1"/>
        <v>0</v>
      </c>
      <c r="M14" s="1275"/>
      <c r="N14" s="1276"/>
      <c r="O14" s="1276"/>
      <c r="P14" s="1277"/>
      <c r="Q14" s="1313">
        <f t="shared" si="2"/>
        <v>0</v>
      </c>
      <c r="R14" s="1304">
        <f>C14-H14</f>
        <v>0</v>
      </c>
      <c r="S14" s="1305">
        <f>G14-L14</f>
        <v>0</v>
      </c>
      <c r="T14" s="1322"/>
      <c r="U14" s="1333"/>
      <c r="V14" s="1338"/>
      <c r="W14" s="1323"/>
      <c r="X14" s="1338"/>
      <c r="Y14" s="1323"/>
    </row>
    <row r="15" spans="1:25" s="1260" customFormat="1" ht="21" customHeight="1" thickBot="1">
      <c r="A15" s="1350"/>
      <c r="B15" s="1351"/>
      <c r="C15" s="1278"/>
      <c r="D15" s="1279"/>
      <c r="E15" s="1279"/>
      <c r="F15" s="1280"/>
      <c r="G15" s="1314">
        <f t="shared" si="0"/>
        <v>0</v>
      </c>
      <c r="H15" s="1278"/>
      <c r="I15" s="1279"/>
      <c r="J15" s="1279"/>
      <c r="K15" s="1280"/>
      <c r="L15" s="1314">
        <f t="shared" si="1"/>
        <v>0</v>
      </c>
      <c r="M15" s="1278"/>
      <c r="N15" s="1279"/>
      <c r="O15" s="1279"/>
      <c r="P15" s="1280"/>
      <c r="Q15" s="1314">
        <f t="shared" si="2"/>
        <v>0</v>
      </c>
      <c r="R15" s="1306">
        <f t="shared" si="3"/>
        <v>0</v>
      </c>
      <c r="S15" s="1307">
        <f t="shared" si="4"/>
        <v>0</v>
      </c>
      <c r="T15" s="1324"/>
      <c r="U15" s="1334"/>
      <c r="V15" s="1339"/>
      <c r="W15" s="1325"/>
      <c r="X15" s="1339"/>
      <c r="Y15" s="1325"/>
    </row>
    <row r="16" spans="1:25" s="1260" customFormat="1" ht="21" customHeight="1" thickBot="1" thickTop="1">
      <c r="A16" s="2446" t="s">
        <v>439</v>
      </c>
      <c r="B16" s="2447"/>
      <c r="C16" s="1318">
        <f>SUM(C12:C15)</f>
        <v>0</v>
      </c>
      <c r="D16" s="1316">
        <f>SUM(D12:D15)</f>
        <v>0</v>
      </c>
      <c r="E16" s="1316">
        <f>SUM(E12:E15)</f>
        <v>0</v>
      </c>
      <c r="F16" s="1317">
        <f>SUM(F12:F15)</f>
        <v>0</v>
      </c>
      <c r="G16" s="1315">
        <f t="shared" si="0"/>
        <v>0</v>
      </c>
      <c r="H16" s="1318">
        <f>SUM(H12:H15)</f>
        <v>0</v>
      </c>
      <c r="I16" s="1316">
        <f>SUM(I12:I15)</f>
        <v>0</v>
      </c>
      <c r="J16" s="1316">
        <f>SUM(J12:J15)</f>
        <v>0</v>
      </c>
      <c r="K16" s="1317">
        <f>SUM(K12:K15)</f>
        <v>0</v>
      </c>
      <c r="L16" s="1315">
        <f t="shared" si="1"/>
        <v>0</v>
      </c>
      <c r="M16" s="1318">
        <f>SUM(M12:M15)</f>
        <v>0</v>
      </c>
      <c r="N16" s="1316">
        <f>SUM(N12:N15)</f>
        <v>0</v>
      </c>
      <c r="O16" s="1316">
        <f>SUM(O12:O15)</f>
        <v>0</v>
      </c>
      <c r="P16" s="1317">
        <f>SUM(P12:P15)</f>
        <v>0</v>
      </c>
      <c r="Q16" s="1315">
        <f t="shared" si="2"/>
        <v>0</v>
      </c>
      <c r="R16" s="1308">
        <f t="shared" si="3"/>
        <v>0</v>
      </c>
      <c r="S16" s="1309">
        <f t="shared" si="4"/>
        <v>0</v>
      </c>
      <c r="T16" s="1326">
        <f>ROUND(R16/1000,0)</f>
        <v>0</v>
      </c>
      <c r="U16" s="1335">
        <f>ROUND(S16/1000,0)</f>
        <v>0</v>
      </c>
      <c r="V16" s="1340"/>
      <c r="W16" s="1341"/>
      <c r="X16" s="1330">
        <f>T16+V16</f>
        <v>0</v>
      </c>
      <c r="Y16" s="1327">
        <f>U16+W16</f>
        <v>0</v>
      </c>
    </row>
    <row r="17" spans="1:25" s="1260" customFormat="1" ht="21" customHeight="1" hidden="1">
      <c r="A17" s="1354"/>
      <c r="B17" s="1355"/>
      <c r="C17" s="1272"/>
      <c r="D17" s="1273"/>
      <c r="E17" s="1273"/>
      <c r="F17" s="1274"/>
      <c r="G17" s="1312">
        <f t="shared" si="0"/>
        <v>0</v>
      </c>
      <c r="H17" s="1272"/>
      <c r="I17" s="1273"/>
      <c r="J17" s="1273"/>
      <c r="K17" s="1274"/>
      <c r="L17" s="1312">
        <f t="shared" si="1"/>
        <v>0</v>
      </c>
      <c r="M17" s="1272"/>
      <c r="N17" s="1273"/>
      <c r="O17" s="1273"/>
      <c r="P17" s="1274"/>
      <c r="Q17" s="1312">
        <f t="shared" si="2"/>
        <v>0</v>
      </c>
      <c r="R17" s="1310">
        <f t="shared" si="3"/>
        <v>0</v>
      </c>
      <c r="S17" s="1311">
        <f t="shared" si="4"/>
        <v>0</v>
      </c>
      <c r="T17" s="1320"/>
      <c r="U17" s="1332"/>
      <c r="V17" s="1337"/>
      <c r="W17" s="1321"/>
      <c r="X17" s="1337"/>
      <c r="Y17" s="1321"/>
    </row>
    <row r="18" spans="1:25" s="1260" customFormat="1" ht="21" customHeight="1">
      <c r="A18" s="1358"/>
      <c r="B18" s="1359"/>
      <c r="C18" s="1275"/>
      <c r="D18" s="1276"/>
      <c r="E18" s="1276"/>
      <c r="F18" s="1277"/>
      <c r="G18" s="1313">
        <f t="shared" si="0"/>
        <v>0</v>
      </c>
      <c r="H18" s="1275"/>
      <c r="I18" s="1276"/>
      <c r="J18" s="1276"/>
      <c r="K18" s="1277"/>
      <c r="L18" s="1313">
        <f t="shared" si="1"/>
        <v>0</v>
      </c>
      <c r="M18" s="1275"/>
      <c r="N18" s="1276"/>
      <c r="O18" s="1276"/>
      <c r="P18" s="1277"/>
      <c r="Q18" s="1313">
        <f t="shared" si="2"/>
        <v>0</v>
      </c>
      <c r="R18" s="1304">
        <f t="shared" si="3"/>
        <v>0</v>
      </c>
      <c r="S18" s="1305">
        <f t="shared" si="4"/>
        <v>0</v>
      </c>
      <c r="T18" s="1322"/>
      <c r="U18" s="1333"/>
      <c r="V18" s="1338"/>
      <c r="W18" s="1323"/>
      <c r="X18" s="1338"/>
      <c r="Y18" s="1323"/>
    </row>
    <row r="19" spans="1:25" s="1260" customFormat="1" ht="21" customHeight="1">
      <c r="A19" s="1358"/>
      <c r="B19" s="1359"/>
      <c r="C19" s="1275"/>
      <c r="D19" s="1276"/>
      <c r="E19" s="1276"/>
      <c r="F19" s="1277"/>
      <c r="G19" s="1313">
        <f t="shared" si="0"/>
        <v>0</v>
      </c>
      <c r="H19" s="1275"/>
      <c r="I19" s="1276"/>
      <c r="J19" s="1276"/>
      <c r="K19" s="1277"/>
      <c r="L19" s="1313">
        <f t="shared" si="1"/>
        <v>0</v>
      </c>
      <c r="M19" s="1275"/>
      <c r="N19" s="1276"/>
      <c r="O19" s="1276"/>
      <c r="P19" s="1277"/>
      <c r="Q19" s="1313">
        <f t="shared" si="2"/>
        <v>0</v>
      </c>
      <c r="R19" s="1304">
        <f>C19-H19</f>
        <v>0</v>
      </c>
      <c r="S19" s="1305">
        <f>G19-L19</f>
        <v>0</v>
      </c>
      <c r="T19" s="1322"/>
      <c r="U19" s="1333"/>
      <c r="V19" s="1338"/>
      <c r="W19" s="1323"/>
      <c r="X19" s="1338"/>
      <c r="Y19" s="1323"/>
    </row>
    <row r="20" spans="1:25" s="1260" customFormat="1" ht="21" customHeight="1" thickBot="1">
      <c r="A20" s="1356"/>
      <c r="B20" s="1357"/>
      <c r="C20" s="1278"/>
      <c r="D20" s="1279"/>
      <c r="E20" s="1279"/>
      <c r="F20" s="1280"/>
      <c r="G20" s="1314">
        <f t="shared" si="0"/>
        <v>0</v>
      </c>
      <c r="H20" s="1319"/>
      <c r="I20" s="1279"/>
      <c r="J20" s="1279"/>
      <c r="K20" s="1280"/>
      <c r="L20" s="1314">
        <f t="shared" si="1"/>
        <v>0</v>
      </c>
      <c r="M20" s="1278"/>
      <c r="N20" s="1279"/>
      <c r="O20" s="1279"/>
      <c r="P20" s="1280"/>
      <c r="Q20" s="1314">
        <f t="shared" si="2"/>
        <v>0</v>
      </c>
      <c r="R20" s="1306">
        <f t="shared" si="3"/>
        <v>0</v>
      </c>
      <c r="S20" s="1307">
        <f t="shared" si="4"/>
        <v>0</v>
      </c>
      <c r="T20" s="1324"/>
      <c r="U20" s="1334"/>
      <c r="V20" s="1339"/>
      <c r="W20" s="1325"/>
      <c r="X20" s="1339"/>
      <c r="Y20" s="1325"/>
    </row>
    <row r="21" spans="1:25" s="1260" customFormat="1" ht="21" customHeight="1" thickBot="1" thickTop="1">
      <c r="A21" s="2450" t="s">
        <v>800</v>
      </c>
      <c r="B21" s="2451"/>
      <c r="C21" s="1318">
        <f>SUM(C17:C20)</f>
        <v>0</v>
      </c>
      <c r="D21" s="1316">
        <f>SUM(D17:D20)</f>
        <v>0</v>
      </c>
      <c r="E21" s="1316">
        <f>SUM(E17:E20)</f>
        <v>0</v>
      </c>
      <c r="F21" s="1317">
        <f>SUM(F17:F20)</f>
        <v>0</v>
      </c>
      <c r="G21" s="1315">
        <f t="shared" si="0"/>
        <v>0</v>
      </c>
      <c r="H21" s="1318">
        <f>SUM(H17:H20)</f>
        <v>0</v>
      </c>
      <c r="I21" s="1316">
        <f>SUM(I17:I20)</f>
        <v>0</v>
      </c>
      <c r="J21" s="1316">
        <f>SUM(J17:J20)</f>
        <v>0</v>
      </c>
      <c r="K21" s="1317">
        <f>SUM(K17:K20)</f>
        <v>0</v>
      </c>
      <c r="L21" s="1315">
        <f t="shared" si="1"/>
        <v>0</v>
      </c>
      <c r="M21" s="1318">
        <f>SUM(M17:M20)</f>
        <v>0</v>
      </c>
      <c r="N21" s="1316">
        <f>SUM(N17:N20)</f>
        <v>0</v>
      </c>
      <c r="O21" s="1316">
        <f>SUM(O17:O20)</f>
        <v>0</v>
      </c>
      <c r="P21" s="1317">
        <f>SUM(P17:P20)</f>
        <v>0</v>
      </c>
      <c r="Q21" s="1315">
        <f t="shared" si="2"/>
        <v>0</v>
      </c>
      <c r="R21" s="1308">
        <f t="shared" si="3"/>
        <v>0</v>
      </c>
      <c r="S21" s="1309">
        <f t="shared" si="4"/>
        <v>0</v>
      </c>
      <c r="T21" s="1326">
        <f>ROUND(R21/1000,0)</f>
        <v>0</v>
      </c>
      <c r="U21" s="1335">
        <f>ROUND(S21/1000,0)</f>
        <v>0</v>
      </c>
      <c r="V21" s="1340"/>
      <c r="W21" s="1341"/>
      <c r="X21" s="1330">
        <f>T21+V21</f>
        <v>0</v>
      </c>
      <c r="Y21" s="1327">
        <f>U21+W21</f>
        <v>0</v>
      </c>
    </row>
    <row r="22" spans="1:25" s="1260" customFormat="1" ht="21" customHeight="1" hidden="1">
      <c r="A22" s="1354"/>
      <c r="B22" s="1355"/>
      <c r="C22" s="1272"/>
      <c r="D22" s="1273"/>
      <c r="E22" s="1273"/>
      <c r="F22" s="1274"/>
      <c r="G22" s="1312">
        <f t="shared" si="0"/>
        <v>0</v>
      </c>
      <c r="H22" s="1272"/>
      <c r="I22" s="1273"/>
      <c r="J22" s="1273"/>
      <c r="K22" s="1274"/>
      <c r="L22" s="1312">
        <f t="shared" si="1"/>
        <v>0</v>
      </c>
      <c r="M22" s="1272"/>
      <c r="N22" s="1273"/>
      <c r="O22" s="1273"/>
      <c r="P22" s="1274"/>
      <c r="Q22" s="1312">
        <f t="shared" si="2"/>
        <v>0</v>
      </c>
      <c r="R22" s="1310">
        <f t="shared" si="3"/>
        <v>0</v>
      </c>
      <c r="S22" s="1311">
        <f t="shared" si="4"/>
        <v>0</v>
      </c>
      <c r="T22" s="1320"/>
      <c r="U22" s="1332"/>
      <c r="V22" s="1337"/>
      <c r="W22" s="1321"/>
      <c r="X22" s="1337"/>
      <c r="Y22" s="1321"/>
    </row>
    <row r="23" spans="1:25" s="1260" customFormat="1" ht="21" customHeight="1">
      <c r="A23" s="1358"/>
      <c r="B23" s="1359"/>
      <c r="C23" s="1275"/>
      <c r="D23" s="1276"/>
      <c r="E23" s="1276"/>
      <c r="F23" s="1277"/>
      <c r="G23" s="1313">
        <f t="shared" si="0"/>
        <v>0</v>
      </c>
      <c r="H23" s="1275"/>
      <c r="I23" s="1276"/>
      <c r="J23" s="1276"/>
      <c r="K23" s="1277"/>
      <c r="L23" s="1313">
        <f t="shared" si="1"/>
        <v>0</v>
      </c>
      <c r="M23" s="1275"/>
      <c r="N23" s="1276"/>
      <c r="O23" s="1276"/>
      <c r="P23" s="1277"/>
      <c r="Q23" s="1313">
        <f t="shared" si="2"/>
        <v>0</v>
      </c>
      <c r="R23" s="1304">
        <f t="shared" si="3"/>
        <v>0</v>
      </c>
      <c r="S23" s="1305">
        <f t="shared" si="4"/>
        <v>0</v>
      </c>
      <c r="T23" s="1322"/>
      <c r="U23" s="1333"/>
      <c r="V23" s="1338"/>
      <c r="W23" s="1323"/>
      <c r="X23" s="1338"/>
      <c r="Y23" s="1323"/>
    </row>
    <row r="24" spans="1:25" s="1260" customFormat="1" ht="21" customHeight="1">
      <c r="A24" s="1358"/>
      <c r="B24" s="1359"/>
      <c r="C24" s="1275"/>
      <c r="D24" s="1276"/>
      <c r="E24" s="1276"/>
      <c r="F24" s="1277"/>
      <c r="G24" s="1313">
        <f t="shared" si="0"/>
        <v>0</v>
      </c>
      <c r="H24" s="1275"/>
      <c r="I24" s="1276"/>
      <c r="J24" s="1276"/>
      <c r="K24" s="1277"/>
      <c r="L24" s="1313">
        <f t="shared" si="1"/>
        <v>0</v>
      </c>
      <c r="M24" s="1275"/>
      <c r="N24" s="1276"/>
      <c r="O24" s="1276"/>
      <c r="P24" s="1277"/>
      <c r="Q24" s="1313">
        <f>SUM(M24:P24)</f>
        <v>0</v>
      </c>
      <c r="R24" s="1304">
        <f>C24-H24</f>
        <v>0</v>
      </c>
      <c r="S24" s="1305">
        <f>G24-L24</f>
        <v>0</v>
      </c>
      <c r="T24" s="1322"/>
      <c r="U24" s="1333"/>
      <c r="V24" s="1338"/>
      <c r="W24" s="1323"/>
      <c r="X24" s="1338"/>
      <c r="Y24" s="1323"/>
    </row>
    <row r="25" spans="1:25" s="1260" customFormat="1" ht="21" customHeight="1" thickBot="1">
      <c r="A25" s="1356"/>
      <c r="B25" s="1357"/>
      <c r="C25" s="1278"/>
      <c r="D25" s="1279"/>
      <c r="E25" s="1279"/>
      <c r="F25" s="1280"/>
      <c r="G25" s="1314">
        <f t="shared" si="0"/>
        <v>0</v>
      </c>
      <c r="H25" s="1278"/>
      <c r="I25" s="1279"/>
      <c r="J25" s="1279"/>
      <c r="K25" s="1280"/>
      <c r="L25" s="1314">
        <f t="shared" si="1"/>
        <v>0</v>
      </c>
      <c r="M25" s="1278"/>
      <c r="N25" s="1279"/>
      <c r="O25" s="1279"/>
      <c r="P25" s="1280"/>
      <c r="Q25" s="1314">
        <f t="shared" si="2"/>
        <v>0</v>
      </c>
      <c r="R25" s="1306">
        <f t="shared" si="3"/>
        <v>0</v>
      </c>
      <c r="S25" s="1307">
        <f t="shared" si="4"/>
        <v>0</v>
      </c>
      <c r="T25" s="1324"/>
      <c r="U25" s="1334"/>
      <c r="V25" s="1339"/>
      <c r="W25" s="1325"/>
      <c r="X25" s="1339"/>
      <c r="Y25" s="1325"/>
    </row>
    <row r="26" spans="1:25" s="1260" customFormat="1" ht="21" customHeight="1" thickBot="1" thickTop="1">
      <c r="A26" s="2446" t="s">
        <v>1409</v>
      </c>
      <c r="B26" s="2447"/>
      <c r="C26" s="1318">
        <f>SUM(C22:C25)</f>
        <v>0</v>
      </c>
      <c r="D26" s="1316">
        <f>SUM(D22:D25)</f>
        <v>0</v>
      </c>
      <c r="E26" s="1316">
        <f>SUM(E22:E25)</f>
        <v>0</v>
      </c>
      <c r="F26" s="1317">
        <f>SUM(F22:F25)</f>
        <v>0</v>
      </c>
      <c r="G26" s="1315">
        <f t="shared" si="0"/>
        <v>0</v>
      </c>
      <c r="H26" s="1318">
        <f>SUM(H22:H25)</f>
        <v>0</v>
      </c>
      <c r="I26" s="1316">
        <f>SUM(I22:I25)</f>
        <v>0</v>
      </c>
      <c r="J26" s="1316">
        <f>SUM(J22:J25)</f>
        <v>0</v>
      </c>
      <c r="K26" s="1317">
        <f>SUM(K22:K25)</f>
        <v>0</v>
      </c>
      <c r="L26" s="1315">
        <f t="shared" si="1"/>
        <v>0</v>
      </c>
      <c r="M26" s="1318">
        <f>SUM(M22:M25)</f>
        <v>0</v>
      </c>
      <c r="N26" s="1316">
        <f>SUM(N22:N25)</f>
        <v>0</v>
      </c>
      <c r="O26" s="1316">
        <f>SUM(O22:O25)</f>
        <v>0</v>
      </c>
      <c r="P26" s="1317">
        <f>SUM(P22:P25)</f>
        <v>0</v>
      </c>
      <c r="Q26" s="1315">
        <f t="shared" si="2"/>
        <v>0</v>
      </c>
      <c r="R26" s="1308">
        <f t="shared" si="3"/>
        <v>0</v>
      </c>
      <c r="S26" s="1309">
        <f t="shared" si="4"/>
        <v>0</v>
      </c>
      <c r="T26" s="1326">
        <f>ROUND(R26/1000,0)</f>
        <v>0</v>
      </c>
      <c r="U26" s="1335">
        <f>ROUND(S26/1000,0)</f>
        <v>0</v>
      </c>
      <c r="V26" s="1340"/>
      <c r="W26" s="1341"/>
      <c r="X26" s="1330">
        <f>T26+V26</f>
        <v>0</v>
      </c>
      <c r="Y26" s="1327">
        <f>U26+W26</f>
        <v>0</v>
      </c>
    </row>
    <row r="27" spans="1:25" s="1260" customFormat="1" ht="21" customHeight="1" hidden="1">
      <c r="A27" s="1352"/>
      <c r="B27" s="1353"/>
      <c r="C27" s="1272"/>
      <c r="D27" s="1273"/>
      <c r="E27" s="1273"/>
      <c r="F27" s="1274"/>
      <c r="G27" s="1312">
        <f t="shared" si="0"/>
        <v>0</v>
      </c>
      <c r="H27" s="1272"/>
      <c r="I27" s="1273"/>
      <c r="J27" s="1273"/>
      <c r="K27" s="1274"/>
      <c r="L27" s="1312">
        <f t="shared" si="1"/>
        <v>0</v>
      </c>
      <c r="M27" s="1272"/>
      <c r="N27" s="1273"/>
      <c r="O27" s="1273"/>
      <c r="P27" s="1274"/>
      <c r="Q27" s="1312">
        <f t="shared" si="2"/>
        <v>0</v>
      </c>
      <c r="R27" s="1310">
        <f t="shared" si="3"/>
        <v>0</v>
      </c>
      <c r="S27" s="1311">
        <f t="shared" si="4"/>
        <v>0</v>
      </c>
      <c r="T27" s="1320"/>
      <c r="U27" s="1332"/>
      <c r="V27" s="1337"/>
      <c r="W27" s="1321"/>
      <c r="X27" s="1337"/>
      <c r="Y27" s="1321"/>
    </row>
    <row r="28" spans="1:25" s="1260" customFormat="1" ht="21" customHeight="1">
      <c r="A28" s="1348"/>
      <c r="B28" s="1349"/>
      <c r="C28" s="1275"/>
      <c r="D28" s="1276"/>
      <c r="E28" s="1276"/>
      <c r="F28" s="1277"/>
      <c r="G28" s="1313">
        <f t="shared" si="0"/>
        <v>0</v>
      </c>
      <c r="H28" s="1275"/>
      <c r="I28" s="1276"/>
      <c r="J28" s="1276"/>
      <c r="K28" s="1277"/>
      <c r="L28" s="1313">
        <f t="shared" si="1"/>
        <v>0</v>
      </c>
      <c r="M28" s="1275"/>
      <c r="N28" s="1276"/>
      <c r="O28" s="1276"/>
      <c r="P28" s="1277"/>
      <c r="Q28" s="1313">
        <f t="shared" si="2"/>
        <v>0</v>
      </c>
      <c r="R28" s="1304">
        <f t="shared" si="3"/>
        <v>0</v>
      </c>
      <c r="S28" s="1305">
        <f t="shared" si="4"/>
        <v>0</v>
      </c>
      <c r="T28" s="1322"/>
      <c r="U28" s="1333"/>
      <c r="V28" s="1338"/>
      <c r="W28" s="1323"/>
      <c r="X28" s="1338"/>
      <c r="Y28" s="1323"/>
    </row>
    <row r="29" spans="1:25" s="1260" customFormat="1" ht="21" customHeight="1">
      <c r="A29" s="1348"/>
      <c r="B29" s="1349"/>
      <c r="C29" s="1275"/>
      <c r="D29" s="1276"/>
      <c r="E29" s="1276"/>
      <c r="F29" s="1277"/>
      <c r="G29" s="1313">
        <f>SUM(C29:F29)</f>
        <v>0</v>
      </c>
      <c r="H29" s="1275"/>
      <c r="I29" s="1276"/>
      <c r="J29" s="1276"/>
      <c r="K29" s="1277"/>
      <c r="L29" s="1313">
        <f>SUM(H29:K29)</f>
        <v>0</v>
      </c>
      <c r="M29" s="1275"/>
      <c r="N29" s="1276"/>
      <c r="O29" s="1276"/>
      <c r="P29" s="1277"/>
      <c r="Q29" s="1313">
        <f>SUM(M29:P29)</f>
        <v>0</v>
      </c>
      <c r="R29" s="1304">
        <f>C29-H29</f>
        <v>0</v>
      </c>
      <c r="S29" s="1305">
        <f>G29-L29</f>
        <v>0</v>
      </c>
      <c r="T29" s="1322"/>
      <c r="U29" s="1333"/>
      <c r="V29" s="1338"/>
      <c r="W29" s="1323"/>
      <c r="X29" s="1338"/>
      <c r="Y29" s="1323"/>
    </row>
    <row r="30" spans="1:25" s="1260" customFormat="1" ht="21" customHeight="1" thickBot="1">
      <c r="A30" s="1350"/>
      <c r="B30" s="1351"/>
      <c r="C30" s="1278"/>
      <c r="D30" s="1279"/>
      <c r="E30" s="1279"/>
      <c r="F30" s="1280"/>
      <c r="G30" s="1314">
        <f t="shared" si="0"/>
        <v>0</v>
      </c>
      <c r="H30" s="1278"/>
      <c r="I30" s="1279"/>
      <c r="J30" s="1279"/>
      <c r="K30" s="1280"/>
      <c r="L30" s="1314">
        <f t="shared" si="1"/>
        <v>0</v>
      </c>
      <c r="M30" s="1278"/>
      <c r="N30" s="1279"/>
      <c r="O30" s="1279"/>
      <c r="P30" s="1280"/>
      <c r="Q30" s="1314">
        <f t="shared" si="2"/>
        <v>0</v>
      </c>
      <c r="R30" s="1306">
        <f t="shared" si="3"/>
        <v>0</v>
      </c>
      <c r="S30" s="1307">
        <f t="shared" si="4"/>
        <v>0</v>
      </c>
      <c r="T30" s="1324"/>
      <c r="U30" s="1334"/>
      <c r="V30" s="1339"/>
      <c r="W30" s="1325"/>
      <c r="X30" s="1339"/>
      <c r="Y30" s="1325"/>
    </row>
    <row r="31" spans="1:25" s="1260" customFormat="1" ht="21" customHeight="1" thickBot="1" thickTop="1">
      <c r="A31" s="2446" t="s">
        <v>801</v>
      </c>
      <c r="B31" s="2447"/>
      <c r="C31" s="1318">
        <f>SUM(C27:C30)</f>
        <v>0</v>
      </c>
      <c r="D31" s="1316">
        <f>SUM(D27:D30)</f>
        <v>0</v>
      </c>
      <c r="E31" s="1316">
        <f>SUM(E27:E30)</f>
        <v>0</v>
      </c>
      <c r="F31" s="1317">
        <f>SUM(F27:F30)</f>
        <v>0</v>
      </c>
      <c r="G31" s="1315">
        <f t="shared" si="0"/>
        <v>0</v>
      </c>
      <c r="H31" s="1318">
        <f>SUM(H27:H30)</f>
        <v>0</v>
      </c>
      <c r="I31" s="1316">
        <f>SUM(I27:I30)</f>
        <v>0</v>
      </c>
      <c r="J31" s="1316">
        <f>SUM(J27:J30)</f>
        <v>0</v>
      </c>
      <c r="K31" s="1317">
        <f>SUM(K27:K30)</f>
        <v>0</v>
      </c>
      <c r="L31" s="1315">
        <f t="shared" si="1"/>
        <v>0</v>
      </c>
      <c r="M31" s="1318">
        <f>SUM(M27:M30)</f>
        <v>0</v>
      </c>
      <c r="N31" s="1316">
        <f>SUM(N27:N30)</f>
        <v>0</v>
      </c>
      <c r="O31" s="1316">
        <f>SUM(O27:O30)</f>
        <v>0</v>
      </c>
      <c r="P31" s="1317">
        <f>SUM(P27:P30)</f>
        <v>0</v>
      </c>
      <c r="Q31" s="1315">
        <f t="shared" si="2"/>
        <v>0</v>
      </c>
      <c r="R31" s="1308">
        <f t="shared" si="3"/>
        <v>0</v>
      </c>
      <c r="S31" s="1309">
        <f t="shared" si="4"/>
        <v>0</v>
      </c>
      <c r="T31" s="1326">
        <f>ROUND(R31/1000,0)</f>
        <v>0</v>
      </c>
      <c r="U31" s="1335">
        <f>ROUND(S31/1000,0)</f>
        <v>0</v>
      </c>
      <c r="V31" s="1340"/>
      <c r="W31" s="1341"/>
      <c r="X31" s="1330">
        <f>T31+V31</f>
        <v>0</v>
      </c>
      <c r="Y31" s="1327">
        <f>U31+W31</f>
        <v>0</v>
      </c>
    </row>
    <row r="32" spans="1:25" s="1260" customFormat="1" ht="21" customHeight="1" hidden="1">
      <c r="A32" s="1352"/>
      <c r="B32" s="1353"/>
      <c r="C32" s="1272"/>
      <c r="D32" s="1273"/>
      <c r="E32" s="1273"/>
      <c r="F32" s="1274"/>
      <c r="G32" s="1312">
        <f t="shared" si="0"/>
        <v>0</v>
      </c>
      <c r="H32" s="1281"/>
      <c r="I32" s="1282"/>
      <c r="J32" s="1282"/>
      <c r="K32" s="1283"/>
      <c r="L32" s="1284"/>
      <c r="M32" s="1272"/>
      <c r="N32" s="1273"/>
      <c r="O32" s="1273"/>
      <c r="P32" s="1274"/>
      <c r="Q32" s="1312">
        <f t="shared" si="2"/>
        <v>0</v>
      </c>
      <c r="R32" s="1310">
        <f t="shared" si="3"/>
        <v>0</v>
      </c>
      <c r="S32" s="1311">
        <f t="shared" si="4"/>
        <v>0</v>
      </c>
      <c r="T32" s="1320"/>
      <c r="U32" s="1332"/>
      <c r="V32" s="1337"/>
      <c r="W32" s="1321"/>
      <c r="X32" s="1337"/>
      <c r="Y32" s="1321"/>
    </row>
    <row r="33" spans="1:25" s="1260" customFormat="1" ht="21" customHeight="1">
      <c r="A33" s="1348"/>
      <c r="B33" s="1349"/>
      <c r="C33" s="1275"/>
      <c r="D33" s="1276"/>
      <c r="E33" s="1276"/>
      <c r="F33" s="1277"/>
      <c r="G33" s="1313">
        <f t="shared" si="0"/>
        <v>0</v>
      </c>
      <c r="H33" s="1285"/>
      <c r="I33" s="1286"/>
      <c r="J33" s="1286"/>
      <c r="K33" s="1287"/>
      <c r="L33" s="1288"/>
      <c r="M33" s="1275"/>
      <c r="N33" s="1276"/>
      <c r="O33" s="1276"/>
      <c r="P33" s="1277"/>
      <c r="Q33" s="1313">
        <f t="shared" si="2"/>
        <v>0</v>
      </c>
      <c r="R33" s="1304">
        <f t="shared" si="3"/>
        <v>0</v>
      </c>
      <c r="S33" s="1305">
        <f t="shared" si="4"/>
        <v>0</v>
      </c>
      <c r="T33" s="1322"/>
      <c r="U33" s="1333"/>
      <c r="V33" s="1338"/>
      <c r="W33" s="1323"/>
      <c r="X33" s="1338"/>
      <c r="Y33" s="1323"/>
    </row>
    <row r="34" spans="1:25" s="1260" customFormat="1" ht="21" customHeight="1">
      <c r="A34" s="1348"/>
      <c r="B34" s="1349"/>
      <c r="C34" s="1275"/>
      <c r="D34" s="1276"/>
      <c r="E34" s="1276"/>
      <c r="F34" s="1277"/>
      <c r="G34" s="1313">
        <f>SUM(C34:F34)</f>
        <v>0</v>
      </c>
      <c r="H34" s="1285"/>
      <c r="I34" s="1286"/>
      <c r="J34" s="1286"/>
      <c r="K34" s="1287"/>
      <c r="L34" s="1288"/>
      <c r="M34" s="1275"/>
      <c r="N34" s="1276"/>
      <c r="O34" s="1276"/>
      <c r="P34" s="1277"/>
      <c r="Q34" s="1313">
        <f>SUM(M34:P34)</f>
        <v>0</v>
      </c>
      <c r="R34" s="1304">
        <f>C34-H34</f>
        <v>0</v>
      </c>
      <c r="S34" s="1305">
        <f>G34-L34</f>
        <v>0</v>
      </c>
      <c r="T34" s="1322"/>
      <c r="U34" s="1333"/>
      <c r="V34" s="1338"/>
      <c r="W34" s="1323"/>
      <c r="X34" s="1338"/>
      <c r="Y34" s="1323"/>
    </row>
    <row r="35" spans="1:25" s="1260" customFormat="1" ht="21" customHeight="1" thickBot="1">
      <c r="A35" s="1350"/>
      <c r="B35" s="1351"/>
      <c r="C35" s="1278"/>
      <c r="D35" s="1279"/>
      <c r="E35" s="1279"/>
      <c r="F35" s="1280"/>
      <c r="G35" s="1314">
        <f t="shared" si="0"/>
        <v>0</v>
      </c>
      <c r="H35" s="1289"/>
      <c r="I35" s="1290"/>
      <c r="J35" s="1290"/>
      <c r="K35" s="1291"/>
      <c r="L35" s="1292"/>
      <c r="M35" s="1278"/>
      <c r="N35" s="1279"/>
      <c r="O35" s="1279"/>
      <c r="P35" s="1280"/>
      <c r="Q35" s="1314">
        <f t="shared" si="2"/>
        <v>0</v>
      </c>
      <c r="R35" s="1306">
        <f t="shared" si="3"/>
        <v>0</v>
      </c>
      <c r="S35" s="1307">
        <f t="shared" si="4"/>
        <v>0</v>
      </c>
      <c r="T35" s="1324"/>
      <c r="U35" s="1334"/>
      <c r="V35" s="1339"/>
      <c r="W35" s="1325"/>
      <c r="X35" s="1339"/>
      <c r="Y35" s="1325"/>
    </row>
    <row r="36" spans="1:25" s="1260" customFormat="1" ht="21" customHeight="1" thickBot="1" thickTop="1">
      <c r="A36" s="2446" t="s">
        <v>1410</v>
      </c>
      <c r="B36" s="2447"/>
      <c r="C36" s="1318">
        <f>SUM(C32:C35)</f>
        <v>0</v>
      </c>
      <c r="D36" s="1316">
        <f>SUM(D32:D35)</f>
        <v>0</v>
      </c>
      <c r="E36" s="1316">
        <f>SUM(E32:E35)</f>
        <v>0</v>
      </c>
      <c r="F36" s="1317">
        <f>SUM(F32:F35)</f>
        <v>0</v>
      </c>
      <c r="G36" s="1315">
        <f t="shared" si="0"/>
        <v>0</v>
      </c>
      <c r="H36" s="1293"/>
      <c r="I36" s="1294"/>
      <c r="J36" s="1294"/>
      <c r="K36" s="1295"/>
      <c r="L36" s="1296"/>
      <c r="M36" s="1318">
        <f>SUM(M32:M35)</f>
        <v>0</v>
      </c>
      <c r="N36" s="1316">
        <f>SUM(N32:N35)</f>
        <v>0</v>
      </c>
      <c r="O36" s="1316">
        <f>SUM(O32:O35)</f>
        <v>0</v>
      </c>
      <c r="P36" s="1317">
        <f>SUM(P32:P35)</f>
        <v>0</v>
      </c>
      <c r="Q36" s="1315">
        <f t="shared" si="2"/>
        <v>0</v>
      </c>
      <c r="R36" s="1308">
        <f t="shared" si="3"/>
        <v>0</v>
      </c>
      <c r="S36" s="1309">
        <f t="shared" si="4"/>
        <v>0</v>
      </c>
      <c r="T36" s="1326">
        <f>ROUND(R36/1000,0)</f>
        <v>0</v>
      </c>
      <c r="U36" s="1335">
        <f>ROUND(S36/1000,0)</f>
        <v>0</v>
      </c>
      <c r="V36" s="1340"/>
      <c r="W36" s="1341"/>
      <c r="X36" s="1330">
        <f>T36+V36</f>
        <v>0</v>
      </c>
      <c r="Y36" s="1327">
        <f>U36+W36</f>
        <v>0</v>
      </c>
    </row>
    <row r="37" spans="1:25" s="1260" customFormat="1" ht="21" customHeight="1">
      <c r="A37" s="1352"/>
      <c r="B37" s="1353"/>
      <c r="C37" s="1272"/>
      <c r="D37" s="1273"/>
      <c r="E37" s="1273"/>
      <c r="F37" s="1274"/>
      <c r="G37" s="1312">
        <f t="shared" si="0"/>
        <v>0</v>
      </c>
      <c r="H37" s="1281"/>
      <c r="I37" s="1282"/>
      <c r="J37" s="1282"/>
      <c r="K37" s="1283"/>
      <c r="L37" s="1284"/>
      <c r="M37" s="1281"/>
      <c r="N37" s="1282"/>
      <c r="O37" s="1282"/>
      <c r="P37" s="1283"/>
      <c r="Q37" s="1284"/>
      <c r="R37" s="1310">
        <f t="shared" si="3"/>
        <v>0</v>
      </c>
      <c r="S37" s="1311">
        <f t="shared" si="4"/>
        <v>0</v>
      </c>
      <c r="T37" s="1320"/>
      <c r="U37" s="1332"/>
      <c r="V37" s="1337"/>
      <c r="W37" s="1321"/>
      <c r="X37" s="1337"/>
      <c r="Y37" s="1321"/>
    </row>
    <row r="38" spans="1:25" s="1260" customFormat="1" ht="21" customHeight="1">
      <c r="A38" s="1348"/>
      <c r="B38" s="1349"/>
      <c r="C38" s="1275"/>
      <c r="D38" s="1276"/>
      <c r="E38" s="1276"/>
      <c r="F38" s="1277"/>
      <c r="G38" s="1313">
        <f t="shared" si="0"/>
        <v>0</v>
      </c>
      <c r="H38" s="1285"/>
      <c r="I38" s="1286"/>
      <c r="J38" s="1286"/>
      <c r="K38" s="1287"/>
      <c r="L38" s="1288"/>
      <c r="M38" s="1285"/>
      <c r="N38" s="1286"/>
      <c r="O38" s="1286"/>
      <c r="P38" s="1287"/>
      <c r="Q38" s="1288"/>
      <c r="R38" s="1304">
        <f t="shared" si="3"/>
        <v>0</v>
      </c>
      <c r="S38" s="1305">
        <f t="shared" si="4"/>
        <v>0</v>
      </c>
      <c r="T38" s="1322"/>
      <c r="U38" s="1333"/>
      <c r="V38" s="1338"/>
      <c r="W38" s="1323"/>
      <c r="X38" s="1338"/>
      <c r="Y38" s="1323"/>
    </row>
    <row r="39" spans="1:25" s="1260" customFormat="1" ht="21" customHeight="1">
      <c r="A39" s="1348"/>
      <c r="B39" s="1349"/>
      <c r="C39" s="1275"/>
      <c r="D39" s="1276"/>
      <c r="E39" s="1276"/>
      <c r="F39" s="1277"/>
      <c r="G39" s="1313">
        <f>SUM(C39:F39)</f>
        <v>0</v>
      </c>
      <c r="H39" s="1285"/>
      <c r="I39" s="1286"/>
      <c r="J39" s="1286"/>
      <c r="K39" s="1287"/>
      <c r="L39" s="1288"/>
      <c r="M39" s="1285"/>
      <c r="N39" s="1286"/>
      <c r="O39" s="1286"/>
      <c r="P39" s="1287"/>
      <c r="Q39" s="1288"/>
      <c r="R39" s="1304">
        <f>C39-H39</f>
        <v>0</v>
      </c>
      <c r="S39" s="1305">
        <f>G39-L39</f>
        <v>0</v>
      </c>
      <c r="T39" s="1322"/>
      <c r="U39" s="1333"/>
      <c r="V39" s="1338"/>
      <c r="W39" s="1323"/>
      <c r="X39" s="1338"/>
      <c r="Y39" s="1323"/>
    </row>
    <row r="40" spans="1:25" s="1260" customFormat="1" ht="21" customHeight="1" thickBot="1">
      <c r="A40" s="1350"/>
      <c r="B40" s="1351"/>
      <c r="C40" s="1278"/>
      <c r="D40" s="1279"/>
      <c r="E40" s="1279"/>
      <c r="F40" s="1280"/>
      <c r="G40" s="1314">
        <f t="shared" si="0"/>
        <v>0</v>
      </c>
      <c r="H40" s="1289"/>
      <c r="I40" s="1290"/>
      <c r="J40" s="1290"/>
      <c r="K40" s="1291"/>
      <c r="L40" s="1292"/>
      <c r="M40" s="1289"/>
      <c r="N40" s="1290"/>
      <c r="O40" s="1290"/>
      <c r="P40" s="1291"/>
      <c r="Q40" s="1292"/>
      <c r="R40" s="1306">
        <f t="shared" si="3"/>
        <v>0</v>
      </c>
      <c r="S40" s="1307">
        <f t="shared" si="4"/>
        <v>0</v>
      </c>
      <c r="T40" s="1324"/>
      <c r="U40" s="1334"/>
      <c r="V40" s="1339"/>
      <c r="W40" s="1325"/>
      <c r="X40" s="1339"/>
      <c r="Y40" s="1325"/>
    </row>
    <row r="41" spans="1:25" s="1260" customFormat="1" ht="21" customHeight="1" thickBot="1" thickTop="1">
      <c r="A41" s="2448" t="s">
        <v>201</v>
      </c>
      <c r="B41" s="2449"/>
      <c r="C41" s="1318">
        <f>SUM(C37:C40)</f>
        <v>0</v>
      </c>
      <c r="D41" s="1316">
        <f>SUM(D37:D40)</f>
        <v>0</v>
      </c>
      <c r="E41" s="1316">
        <f>SUM(E37:E40)</f>
        <v>0</v>
      </c>
      <c r="F41" s="1317">
        <f>SUM(F37:F40)</f>
        <v>0</v>
      </c>
      <c r="G41" s="1315">
        <f t="shared" si="0"/>
        <v>0</v>
      </c>
      <c r="H41" s="1293"/>
      <c r="I41" s="1294"/>
      <c r="J41" s="1294"/>
      <c r="K41" s="1295"/>
      <c r="L41" s="1296"/>
      <c r="M41" s="1293"/>
      <c r="N41" s="1294"/>
      <c r="O41" s="1294"/>
      <c r="P41" s="1295"/>
      <c r="Q41" s="1296"/>
      <c r="R41" s="1308">
        <f t="shared" si="3"/>
        <v>0</v>
      </c>
      <c r="S41" s="1309">
        <f t="shared" si="4"/>
        <v>0</v>
      </c>
      <c r="T41" s="1326">
        <f>ROUND(R41/1000,0)</f>
        <v>0</v>
      </c>
      <c r="U41" s="1335">
        <f>ROUND(S41/1000,0)</f>
        <v>0</v>
      </c>
      <c r="V41" s="1340"/>
      <c r="W41" s="1341"/>
      <c r="X41" s="1330">
        <f>T41+V41</f>
        <v>0</v>
      </c>
      <c r="Y41" s="1327">
        <f>U41+W41</f>
        <v>0</v>
      </c>
    </row>
    <row r="42" spans="1:25" s="1260" customFormat="1" ht="21" customHeight="1" thickBot="1" thickTop="1">
      <c r="A42" s="1271"/>
      <c r="B42" s="1271"/>
      <c r="C42" s="1297"/>
      <c r="D42" s="1297"/>
      <c r="E42" s="1297"/>
      <c r="F42" s="1297"/>
      <c r="G42" s="1297"/>
      <c r="H42" s="1297"/>
      <c r="I42" s="1297"/>
      <c r="J42" s="1297"/>
      <c r="K42" s="1297"/>
      <c r="L42" s="1297"/>
      <c r="M42" s="1297"/>
      <c r="N42" s="1297"/>
      <c r="O42" s="1297"/>
      <c r="P42" s="1297"/>
      <c r="Q42" s="1297"/>
      <c r="R42" s="1297"/>
      <c r="S42" s="1297"/>
      <c r="T42" s="1297"/>
      <c r="U42" s="1297"/>
      <c r="V42" s="1328"/>
      <c r="W42" s="1329"/>
      <c r="X42" s="1329"/>
      <c r="Y42" s="1329"/>
    </row>
    <row r="43" spans="1:25" s="1260" customFormat="1" ht="21" customHeight="1" thickBot="1" thickTop="1">
      <c r="A43" s="2439" t="s">
        <v>33</v>
      </c>
      <c r="B43" s="2440"/>
      <c r="C43" s="1298">
        <f aca="true" t="shared" si="5" ref="C43:W43">SUM(C41,C36,C31,C26,C21,C16,C11)</f>
        <v>0</v>
      </c>
      <c r="D43" s="1299">
        <f t="shared" si="5"/>
        <v>0</v>
      </c>
      <c r="E43" s="1299">
        <f t="shared" si="5"/>
        <v>0</v>
      </c>
      <c r="F43" s="1299">
        <f t="shared" si="5"/>
        <v>0</v>
      </c>
      <c r="G43" s="1300">
        <f t="shared" si="5"/>
        <v>0</v>
      </c>
      <c r="H43" s="1298">
        <f t="shared" si="5"/>
        <v>0</v>
      </c>
      <c r="I43" s="1299">
        <f t="shared" si="5"/>
        <v>0</v>
      </c>
      <c r="J43" s="1299">
        <f t="shared" si="5"/>
        <v>0</v>
      </c>
      <c r="K43" s="1299">
        <f t="shared" si="5"/>
        <v>0</v>
      </c>
      <c r="L43" s="1300">
        <f t="shared" si="5"/>
        <v>0</v>
      </c>
      <c r="M43" s="1298">
        <f t="shared" si="5"/>
        <v>0</v>
      </c>
      <c r="N43" s="1299">
        <f t="shared" si="5"/>
        <v>0</v>
      </c>
      <c r="O43" s="1299">
        <f t="shared" si="5"/>
        <v>0</v>
      </c>
      <c r="P43" s="1299">
        <f t="shared" si="5"/>
        <v>0</v>
      </c>
      <c r="Q43" s="1300">
        <f t="shared" si="5"/>
        <v>0</v>
      </c>
      <c r="R43" s="1298">
        <f t="shared" si="5"/>
        <v>0</v>
      </c>
      <c r="S43" s="1301">
        <f t="shared" si="5"/>
        <v>0</v>
      </c>
      <c r="T43" s="1344">
        <f t="shared" si="5"/>
        <v>0</v>
      </c>
      <c r="U43" s="1317">
        <f t="shared" si="5"/>
        <v>0</v>
      </c>
      <c r="V43" s="1344">
        <f t="shared" si="5"/>
        <v>0</v>
      </c>
      <c r="W43" s="1317">
        <f t="shared" si="5"/>
        <v>0</v>
      </c>
      <c r="X43" s="1342">
        <f>ROUND(R43/1000,0)</f>
        <v>0</v>
      </c>
      <c r="Y43" s="1343">
        <f>ROUND(S43/1000,0)</f>
        <v>0</v>
      </c>
    </row>
    <row r="44" spans="1:25" ht="16.5" thickBot="1" thickTop="1">
      <c r="A44" s="745"/>
      <c r="B44" s="745"/>
      <c r="X44" s="1345" t="str">
        <f>IF(X43-V43-T43=0,"OK",X43-V43-T43)</f>
        <v>OK</v>
      </c>
      <c r="Y44" s="1345" t="str">
        <f>IF(Y43-W43-U43=0,"OK",Y43-W43-U43)</f>
        <v>OK</v>
      </c>
    </row>
    <row r="45" spans="1:2" ht="12.75">
      <c r="A45" s="745"/>
      <c r="B45" s="745"/>
    </row>
    <row r="46" spans="1:2" ht="12.75">
      <c r="A46" s="745"/>
      <c r="B46" s="745"/>
    </row>
    <row r="47" spans="1:2" ht="12.75">
      <c r="A47" s="745"/>
      <c r="B47" s="745"/>
    </row>
  </sheetData>
  <mergeCells count="15">
    <mergeCell ref="A11:B11"/>
    <mergeCell ref="A16:B16"/>
    <mergeCell ref="A21:B21"/>
    <mergeCell ref="A5:A6"/>
    <mergeCell ref="B5:B6"/>
    <mergeCell ref="T5:U5"/>
    <mergeCell ref="V5:W5"/>
    <mergeCell ref="X5:Y5"/>
    <mergeCell ref="A43:B43"/>
    <mergeCell ref="M5:Q5"/>
    <mergeCell ref="R5:S5"/>
    <mergeCell ref="A26:B26"/>
    <mergeCell ref="A31:B31"/>
    <mergeCell ref="A36:B36"/>
    <mergeCell ref="A41:B41"/>
  </mergeCells>
  <printOptions horizontalCentered="1"/>
  <pageMargins left="0.5905511811023623" right="0.5905511811023623" top="0.5905511811023623" bottom="0.5905511811023623" header="0.3937007874015748" footer="0.3937007874015748"/>
  <pageSetup horizontalDpi="600" verticalDpi="600" orientation="landscape" paperSize="9" scale="63" r:id="rId4"/>
  <headerFooter alignWithMargins="0">
    <oddFooter>&amp;L&amp;U                                                
&amp;U        vállalkozás vezetője
             (képviselője)&amp;C&amp;P/&amp;N&amp;R&amp;A</oddFooter>
  </headerFooter>
  <drawing r:id="rId3"/>
  <legacyDrawing r:id="rId2"/>
</worksheet>
</file>

<file path=xl/worksheets/sheet48.xml><?xml version="1.0" encoding="utf-8"?>
<worksheet xmlns="http://schemas.openxmlformats.org/spreadsheetml/2006/main" xmlns:r="http://schemas.openxmlformats.org/officeDocument/2006/relationships">
  <sheetPr codeName="Munka58"/>
  <dimension ref="A1:Y44"/>
  <sheetViews>
    <sheetView zoomScale="85" zoomScaleNormal="85" workbookViewId="0" topLeftCell="A1">
      <pane xSplit="2" ySplit="6" topLeftCell="C8" activePane="bottomRight" state="frozen"/>
      <selection pane="topLeft" activeCell="A1" sqref="A1"/>
      <selection pane="topRight" activeCell="C1" sqref="C1"/>
      <selection pane="bottomLeft" activeCell="A7" sqref="A7"/>
      <selection pane="bottomRight" activeCell="K16" sqref="K16"/>
    </sheetView>
  </sheetViews>
  <sheetFormatPr defaultColWidth="9.00390625" defaultRowHeight="12.75"/>
  <cols>
    <col min="1" max="1" width="12.375" style="388" customWidth="1"/>
    <col min="2" max="2" width="24.25390625" style="388" customWidth="1"/>
    <col min="3" max="15" width="10.75390625" style="388" customWidth="1"/>
    <col min="16" max="16384" width="9.125" style="388" customWidth="1"/>
  </cols>
  <sheetData>
    <row r="1" spans="1:19" s="372" customFormat="1" ht="15">
      <c r="A1" s="387" t="str">
        <f>'III.A.I-II'!A1</f>
        <v>Komáromi Távhő Kft</v>
      </c>
      <c r="B1" s="470"/>
      <c r="C1" s="470"/>
      <c r="D1" s="470"/>
      <c r="S1" s="389" t="str">
        <f>'Leltár fedlap'!A25&amp;" "&amp;'Leltár fedlap'!A27</f>
        <v>Pénzügyi leltár 2016. december 31.Hőszolgáltatás </v>
      </c>
    </row>
    <row r="2" spans="1:15" s="372" customFormat="1" ht="15">
      <c r="A2" s="387"/>
      <c r="B2" s="470"/>
      <c r="C2" s="470"/>
      <c r="D2" s="470"/>
      <c r="O2" s="389"/>
    </row>
    <row r="3" spans="1:19" s="628" customFormat="1" ht="16.5">
      <c r="A3" s="840" t="s">
        <v>787</v>
      </c>
      <c r="B3" s="571"/>
      <c r="C3" s="571"/>
      <c r="D3" s="571"/>
      <c r="E3" s="571"/>
      <c r="F3" s="571"/>
      <c r="G3" s="571"/>
      <c r="H3" s="571"/>
      <c r="I3" s="571"/>
      <c r="J3" s="571"/>
      <c r="K3" s="393"/>
      <c r="L3" s="393"/>
      <c r="M3" s="393"/>
      <c r="N3" s="393"/>
      <c r="O3" s="393"/>
      <c r="P3" s="393"/>
      <c r="Q3" s="393"/>
      <c r="R3" s="393"/>
      <c r="S3" s="393"/>
    </row>
    <row r="4" ht="13.5" thickBot="1">
      <c r="S4" s="746" t="s">
        <v>1538</v>
      </c>
    </row>
    <row r="5" spans="1:25" s="1254" customFormat="1" ht="27" customHeight="1" thickTop="1">
      <c r="A5" s="2452" t="s">
        <v>1038</v>
      </c>
      <c r="B5" s="2454" t="s">
        <v>41</v>
      </c>
      <c r="C5" s="1251" t="s">
        <v>783</v>
      </c>
      <c r="D5" s="1252"/>
      <c r="E5" s="1252"/>
      <c r="F5" s="1252"/>
      <c r="G5" s="1253"/>
      <c r="H5" s="1251" t="s">
        <v>784</v>
      </c>
      <c r="I5" s="1252"/>
      <c r="J5" s="1252"/>
      <c r="K5" s="1252"/>
      <c r="L5" s="1253"/>
      <c r="M5" s="2441" t="s">
        <v>785</v>
      </c>
      <c r="N5" s="2442"/>
      <c r="O5" s="2442"/>
      <c r="P5" s="2443"/>
      <c r="Q5" s="2444"/>
      <c r="R5" s="2445" t="s">
        <v>1047</v>
      </c>
      <c r="S5" s="2444"/>
      <c r="T5" s="2435" t="s">
        <v>790</v>
      </c>
      <c r="U5" s="2436"/>
      <c r="V5" s="2437" t="s">
        <v>788</v>
      </c>
      <c r="W5" s="2438"/>
      <c r="X5" s="2437" t="s">
        <v>789</v>
      </c>
      <c r="Y5" s="2438"/>
    </row>
    <row r="6" spans="1:25" s="1254" customFormat="1" ht="26.25" customHeight="1" thickBot="1">
      <c r="A6" s="2453"/>
      <c r="B6" s="2455"/>
      <c r="C6" s="982" t="s">
        <v>603</v>
      </c>
      <c r="D6" s="771" t="s">
        <v>1048</v>
      </c>
      <c r="E6" s="771" t="s">
        <v>1049</v>
      </c>
      <c r="F6" s="771" t="s">
        <v>1045</v>
      </c>
      <c r="G6" s="773" t="s">
        <v>922</v>
      </c>
      <c r="H6" s="982" t="s">
        <v>603</v>
      </c>
      <c r="I6" s="771" t="s">
        <v>1048</v>
      </c>
      <c r="J6" s="771" t="s">
        <v>1049</v>
      </c>
      <c r="K6" s="771" t="s">
        <v>1045</v>
      </c>
      <c r="L6" s="773" t="s">
        <v>922</v>
      </c>
      <c r="M6" s="982" t="s">
        <v>603</v>
      </c>
      <c r="N6" s="771" t="s">
        <v>1048</v>
      </c>
      <c r="O6" s="771" t="s">
        <v>1049</v>
      </c>
      <c r="P6" s="771" t="s">
        <v>1045</v>
      </c>
      <c r="Q6" s="773" t="s">
        <v>922</v>
      </c>
      <c r="R6" s="1255" t="s">
        <v>603</v>
      </c>
      <c r="S6" s="1256" t="s">
        <v>922</v>
      </c>
      <c r="T6" s="1255" t="s">
        <v>603</v>
      </c>
      <c r="U6" s="1331" t="s">
        <v>922</v>
      </c>
      <c r="V6" s="1336" t="s">
        <v>603</v>
      </c>
      <c r="W6" s="1257" t="s">
        <v>922</v>
      </c>
      <c r="X6" s="1336" t="s">
        <v>603</v>
      </c>
      <c r="Y6" s="1257" t="s">
        <v>922</v>
      </c>
    </row>
    <row r="7" spans="1:25" s="1260" customFormat="1" ht="21" customHeight="1" hidden="1">
      <c r="A7" s="1258"/>
      <c r="B7" s="1259"/>
      <c r="C7" s="1272"/>
      <c r="D7" s="1273"/>
      <c r="E7" s="1273"/>
      <c r="F7" s="1274"/>
      <c r="G7" s="1312">
        <f aca="true" t="shared" si="0" ref="G7:G41">SUM(C7:F7)</f>
        <v>0</v>
      </c>
      <c r="H7" s="1272"/>
      <c r="I7" s="1273"/>
      <c r="J7" s="1273"/>
      <c r="K7" s="1274"/>
      <c r="L7" s="1312">
        <f aca="true" t="shared" si="1" ref="L7:L31">SUM(H7:K7)</f>
        <v>0</v>
      </c>
      <c r="M7" s="1272"/>
      <c r="N7" s="1273"/>
      <c r="O7" s="1273"/>
      <c r="P7" s="1274"/>
      <c r="Q7" s="1312">
        <f aca="true" t="shared" si="2" ref="Q7:Q36">SUM(M7:P7)</f>
        <v>0</v>
      </c>
      <c r="R7" s="1302">
        <f>C7-H7</f>
        <v>0</v>
      </c>
      <c r="S7" s="1303">
        <f>G7-L7</f>
        <v>0</v>
      </c>
      <c r="T7" s="1320"/>
      <c r="U7" s="1332"/>
      <c r="V7" s="1337"/>
      <c r="W7" s="1321"/>
      <c r="X7" s="1337"/>
      <c r="Y7" s="1321"/>
    </row>
    <row r="8" spans="1:25" s="1260" customFormat="1" ht="21" customHeight="1">
      <c r="A8" s="1261"/>
      <c r="B8" s="1262"/>
      <c r="C8" s="1275"/>
      <c r="D8" s="1276"/>
      <c r="E8" s="1276"/>
      <c r="F8" s="1277"/>
      <c r="G8" s="1313">
        <f t="shared" si="0"/>
        <v>0</v>
      </c>
      <c r="H8" s="1275"/>
      <c r="I8" s="1276"/>
      <c r="J8" s="1276"/>
      <c r="K8" s="1277"/>
      <c r="L8" s="1313">
        <f t="shared" si="1"/>
        <v>0</v>
      </c>
      <c r="M8" s="1275"/>
      <c r="N8" s="1276"/>
      <c r="O8" s="1276"/>
      <c r="P8" s="1277"/>
      <c r="Q8" s="1313">
        <f t="shared" si="2"/>
        <v>0</v>
      </c>
      <c r="R8" s="1304">
        <f>C8-H8</f>
        <v>0</v>
      </c>
      <c r="S8" s="1305">
        <f>G8-L8</f>
        <v>0</v>
      </c>
      <c r="T8" s="1322"/>
      <c r="U8" s="1333"/>
      <c r="V8" s="1338"/>
      <c r="W8" s="1323"/>
      <c r="X8" s="1338"/>
      <c r="Y8" s="1323"/>
    </row>
    <row r="9" spans="1:25" s="1260" customFormat="1" ht="21" customHeight="1">
      <c r="A9" s="1263"/>
      <c r="B9" s="1264"/>
      <c r="C9" s="1278"/>
      <c r="D9" s="1279"/>
      <c r="E9" s="1279"/>
      <c r="F9" s="1280"/>
      <c r="G9" s="1313">
        <f>SUM(C9:F9)</f>
        <v>0</v>
      </c>
      <c r="H9" s="1275"/>
      <c r="I9" s="1276"/>
      <c r="J9" s="1276"/>
      <c r="K9" s="1277"/>
      <c r="L9" s="1313">
        <f>SUM(H9:K9)</f>
        <v>0</v>
      </c>
      <c r="M9" s="1275"/>
      <c r="N9" s="1276"/>
      <c r="O9" s="1276"/>
      <c r="P9" s="1277"/>
      <c r="Q9" s="1313">
        <f>SUM(M9:P9)</f>
        <v>0</v>
      </c>
      <c r="R9" s="1304">
        <f>C9-H9</f>
        <v>0</v>
      </c>
      <c r="S9" s="1305">
        <f>G9-L9</f>
        <v>0</v>
      </c>
      <c r="T9" s="1322"/>
      <c r="U9" s="1333"/>
      <c r="V9" s="1338"/>
      <c r="W9" s="1323"/>
      <c r="X9" s="1338"/>
      <c r="Y9" s="1323"/>
    </row>
    <row r="10" spans="1:25" s="1260" customFormat="1" ht="21" customHeight="1" thickBot="1">
      <c r="A10" s="1263"/>
      <c r="B10" s="1264"/>
      <c r="C10" s="1278"/>
      <c r="D10" s="1279"/>
      <c r="E10" s="1279"/>
      <c r="F10" s="1280"/>
      <c r="G10" s="1314">
        <f t="shared" si="0"/>
        <v>0</v>
      </c>
      <c r="H10" s="1278"/>
      <c r="I10" s="1279"/>
      <c r="J10" s="1279"/>
      <c r="K10" s="1280"/>
      <c r="L10" s="1314">
        <f t="shared" si="1"/>
        <v>0</v>
      </c>
      <c r="M10" s="1278"/>
      <c r="N10" s="1279"/>
      <c r="O10" s="1279"/>
      <c r="P10" s="1280"/>
      <c r="Q10" s="1314">
        <f t="shared" si="2"/>
        <v>0</v>
      </c>
      <c r="R10" s="1306">
        <f>C10-H10</f>
        <v>0</v>
      </c>
      <c r="S10" s="1307">
        <f>G10-L10</f>
        <v>0</v>
      </c>
      <c r="T10" s="1324"/>
      <c r="U10" s="1334"/>
      <c r="V10" s="1339"/>
      <c r="W10" s="1325"/>
      <c r="X10" s="1339"/>
      <c r="Y10" s="1325"/>
    </row>
    <row r="11" spans="1:25" s="1260" customFormat="1" ht="21" customHeight="1" thickBot="1" thickTop="1">
      <c r="A11" s="2456" t="s">
        <v>464</v>
      </c>
      <c r="B11" s="2457"/>
      <c r="C11" s="1318">
        <f>SUM(C7:C10)</f>
        <v>0</v>
      </c>
      <c r="D11" s="1316">
        <f>SUM(D7:D10)</f>
        <v>0</v>
      </c>
      <c r="E11" s="1316">
        <f>SUM(E7:E10)</f>
        <v>0</v>
      </c>
      <c r="F11" s="1317">
        <f>SUM(F7:F10)</f>
        <v>0</v>
      </c>
      <c r="G11" s="1315">
        <f t="shared" si="0"/>
        <v>0</v>
      </c>
      <c r="H11" s="1318">
        <f>SUM(H7:H10)</f>
        <v>0</v>
      </c>
      <c r="I11" s="1316">
        <f>SUM(I7:I10)</f>
        <v>0</v>
      </c>
      <c r="J11" s="1316">
        <f>SUM(J7:J10)</f>
        <v>0</v>
      </c>
      <c r="K11" s="1317">
        <f>SUM(K7:K10)</f>
        <v>0</v>
      </c>
      <c r="L11" s="1315">
        <f t="shared" si="1"/>
        <v>0</v>
      </c>
      <c r="M11" s="1318">
        <f>SUM(M7:M10)</f>
        <v>0</v>
      </c>
      <c r="N11" s="1316">
        <f>SUM(N7:N10)</f>
        <v>0</v>
      </c>
      <c r="O11" s="1316">
        <f>SUM(O7:O10)</f>
        <v>0</v>
      </c>
      <c r="P11" s="1317">
        <f>SUM(P7:P10)</f>
        <v>0</v>
      </c>
      <c r="Q11" s="1315">
        <f t="shared" si="2"/>
        <v>0</v>
      </c>
      <c r="R11" s="1308">
        <f>C11-H11</f>
        <v>0</v>
      </c>
      <c r="S11" s="1309">
        <f>G11-L11</f>
        <v>0</v>
      </c>
      <c r="T11" s="1326">
        <f>ROUND(R11/1000,0)</f>
        <v>0</v>
      </c>
      <c r="U11" s="1335">
        <f>ROUND(S11/1000,0)</f>
        <v>0</v>
      </c>
      <c r="V11" s="1340"/>
      <c r="W11" s="1341"/>
      <c r="X11" s="1330">
        <f>T11+V11</f>
        <v>0</v>
      </c>
      <c r="Y11" s="1327">
        <f>U11+W11</f>
        <v>0</v>
      </c>
    </row>
    <row r="12" spans="1:25" s="1260" customFormat="1" ht="21" customHeight="1" hidden="1" thickTop="1">
      <c r="A12" s="1265"/>
      <c r="B12" s="1266"/>
      <c r="C12" s="1272"/>
      <c r="D12" s="1273"/>
      <c r="E12" s="1273"/>
      <c r="F12" s="1274"/>
      <c r="G12" s="1312">
        <f t="shared" si="0"/>
        <v>0</v>
      </c>
      <c r="H12" s="1272"/>
      <c r="I12" s="1273"/>
      <c r="J12" s="1273"/>
      <c r="K12" s="1274"/>
      <c r="L12" s="1312">
        <f t="shared" si="1"/>
        <v>0</v>
      </c>
      <c r="M12" s="1272"/>
      <c r="N12" s="1273"/>
      <c r="O12" s="1273"/>
      <c r="P12" s="1274"/>
      <c r="Q12" s="1312">
        <f t="shared" si="2"/>
        <v>0</v>
      </c>
      <c r="R12" s="1310">
        <f aca="true" t="shared" si="3" ref="R12:R41">C12-H12</f>
        <v>0</v>
      </c>
      <c r="S12" s="1311">
        <f aca="true" t="shared" si="4" ref="S12:S41">G12-L12</f>
        <v>0</v>
      </c>
      <c r="T12" s="1320"/>
      <c r="U12" s="1332"/>
      <c r="V12" s="1337"/>
      <c r="W12" s="1321"/>
      <c r="X12" s="1337"/>
      <c r="Y12" s="1321"/>
    </row>
    <row r="13" spans="1:25" s="1260" customFormat="1" ht="21" customHeight="1" thickTop="1">
      <c r="A13" s="1267"/>
      <c r="B13" s="1268"/>
      <c r="C13" s="1275"/>
      <c r="D13" s="1276"/>
      <c r="E13" s="1276"/>
      <c r="F13" s="1277"/>
      <c r="G13" s="1313">
        <f t="shared" si="0"/>
        <v>0</v>
      </c>
      <c r="H13" s="1275"/>
      <c r="I13" s="1276"/>
      <c r="J13" s="1276"/>
      <c r="K13" s="1277"/>
      <c r="L13" s="1313">
        <f t="shared" si="1"/>
        <v>0</v>
      </c>
      <c r="M13" s="1275"/>
      <c r="N13" s="1276"/>
      <c r="O13" s="1276"/>
      <c r="P13" s="1277"/>
      <c r="Q13" s="1313">
        <f t="shared" si="2"/>
        <v>0</v>
      </c>
      <c r="R13" s="1304">
        <f t="shared" si="3"/>
        <v>0</v>
      </c>
      <c r="S13" s="1305">
        <f t="shared" si="4"/>
        <v>0</v>
      </c>
      <c r="T13" s="1322"/>
      <c r="U13" s="1333"/>
      <c r="V13" s="1338"/>
      <c r="W13" s="1323"/>
      <c r="X13" s="1338"/>
      <c r="Y13" s="1323"/>
    </row>
    <row r="14" spans="1:25" s="1260" customFormat="1" ht="21" customHeight="1">
      <c r="A14" s="1269"/>
      <c r="B14" s="1270"/>
      <c r="C14" s="1278"/>
      <c r="D14" s="1279"/>
      <c r="E14" s="1279"/>
      <c r="F14" s="1277"/>
      <c r="G14" s="1313">
        <f>SUM(C14:F14)</f>
        <v>0</v>
      </c>
      <c r="H14" s="1275"/>
      <c r="I14" s="1276"/>
      <c r="J14" s="1276"/>
      <c r="K14" s="1277"/>
      <c r="L14" s="1313">
        <f>SUM(H14:K14)</f>
        <v>0</v>
      </c>
      <c r="M14" s="1275"/>
      <c r="N14" s="1276"/>
      <c r="O14" s="1276"/>
      <c r="P14" s="1277"/>
      <c r="Q14" s="1313">
        <f>SUM(M14:P14)</f>
        <v>0</v>
      </c>
      <c r="R14" s="1304">
        <f>C14-H14</f>
        <v>0</v>
      </c>
      <c r="S14" s="1305">
        <f>G14-L14</f>
        <v>0</v>
      </c>
      <c r="T14" s="1322"/>
      <c r="U14" s="1333"/>
      <c r="V14" s="1338"/>
      <c r="W14" s="1323"/>
      <c r="X14" s="1338"/>
      <c r="Y14" s="1323"/>
    </row>
    <row r="15" spans="1:25" s="1260" customFormat="1" ht="21" customHeight="1" thickBot="1">
      <c r="A15" s="1269"/>
      <c r="B15" s="1270"/>
      <c r="C15" s="1278"/>
      <c r="D15" s="1279"/>
      <c r="E15" s="1279"/>
      <c r="F15" s="1280"/>
      <c r="G15" s="1314">
        <f t="shared" si="0"/>
        <v>0</v>
      </c>
      <c r="H15" s="1278"/>
      <c r="I15" s="1279"/>
      <c r="J15" s="1279"/>
      <c r="K15" s="1280"/>
      <c r="L15" s="1314">
        <f t="shared" si="1"/>
        <v>0</v>
      </c>
      <c r="M15" s="1278"/>
      <c r="N15" s="1279"/>
      <c r="O15" s="1279"/>
      <c r="P15" s="1280"/>
      <c r="Q15" s="1314">
        <f t="shared" si="2"/>
        <v>0</v>
      </c>
      <c r="R15" s="1306">
        <f t="shared" si="3"/>
        <v>0</v>
      </c>
      <c r="S15" s="1307">
        <f t="shared" si="4"/>
        <v>0</v>
      </c>
      <c r="T15" s="1324"/>
      <c r="U15" s="1334"/>
      <c r="V15" s="1339"/>
      <c r="W15" s="1325"/>
      <c r="X15" s="1339"/>
      <c r="Y15" s="1325"/>
    </row>
    <row r="16" spans="1:25" s="1260" customFormat="1" ht="21" customHeight="1" thickBot="1" thickTop="1">
      <c r="A16" s="2458" t="s">
        <v>1690</v>
      </c>
      <c r="B16" s="2459"/>
      <c r="C16" s="1318">
        <f>SUM(C12:C15)</f>
        <v>0</v>
      </c>
      <c r="D16" s="1316">
        <f>SUM(D12:D15)</f>
        <v>0</v>
      </c>
      <c r="E16" s="1316">
        <f>SUM(E12:E15)</f>
        <v>0</v>
      </c>
      <c r="F16" s="1317">
        <f>SUM(F12:F15)</f>
        <v>0</v>
      </c>
      <c r="G16" s="1315">
        <f t="shared" si="0"/>
        <v>0</v>
      </c>
      <c r="H16" s="1318">
        <f>SUM(H12:H15)</f>
        <v>0</v>
      </c>
      <c r="I16" s="1316">
        <f>SUM(I12:I15)</f>
        <v>0</v>
      </c>
      <c r="J16" s="1316">
        <f>SUM(J12:J15)</f>
        <v>0</v>
      </c>
      <c r="K16" s="2017">
        <f>SUM(K12:K15)</f>
        <v>0</v>
      </c>
      <c r="L16" s="1315">
        <f t="shared" si="1"/>
        <v>0</v>
      </c>
      <c r="M16" s="1318">
        <f>SUM(M12:M15)</f>
        <v>0</v>
      </c>
      <c r="N16" s="1316">
        <f>SUM(N12:N15)</f>
        <v>0</v>
      </c>
      <c r="O16" s="1316">
        <f>SUM(O12:O15)</f>
        <v>0</v>
      </c>
      <c r="P16" s="1317">
        <f>SUM(P12:P15)</f>
        <v>0</v>
      </c>
      <c r="Q16" s="1315">
        <f t="shared" si="2"/>
        <v>0</v>
      </c>
      <c r="R16" s="1308">
        <f t="shared" si="3"/>
        <v>0</v>
      </c>
      <c r="S16" s="1309">
        <f t="shared" si="4"/>
        <v>0</v>
      </c>
      <c r="T16" s="1326">
        <f>ROUND(R16/1000,0)</f>
        <v>0</v>
      </c>
      <c r="U16" s="1335">
        <f>ROUND(S16/1000,0)</f>
        <v>0</v>
      </c>
      <c r="V16" s="1340"/>
      <c r="W16" s="1341"/>
      <c r="X16" s="1330">
        <f>T16+V16</f>
        <v>0</v>
      </c>
      <c r="Y16" s="1327">
        <f>U16+W16</f>
        <v>0</v>
      </c>
    </row>
    <row r="17" spans="1:25" s="1260" customFormat="1" ht="21" customHeight="1" hidden="1" thickTop="1">
      <c r="A17" s="1265"/>
      <c r="B17" s="1266"/>
      <c r="C17" s="1272"/>
      <c r="D17" s="1273"/>
      <c r="E17" s="1273"/>
      <c r="F17" s="1274"/>
      <c r="G17" s="1312">
        <f t="shared" si="0"/>
        <v>0</v>
      </c>
      <c r="H17" s="1272"/>
      <c r="I17" s="1273"/>
      <c r="J17" s="1273"/>
      <c r="K17" s="1274"/>
      <c r="L17" s="1312">
        <f t="shared" si="1"/>
        <v>0</v>
      </c>
      <c r="M17" s="1272"/>
      <c r="N17" s="1273"/>
      <c r="O17" s="1273"/>
      <c r="P17" s="1274"/>
      <c r="Q17" s="1312">
        <f t="shared" si="2"/>
        <v>0</v>
      </c>
      <c r="R17" s="1310">
        <f t="shared" si="3"/>
        <v>0</v>
      </c>
      <c r="S17" s="1311">
        <f t="shared" si="4"/>
        <v>0</v>
      </c>
      <c r="T17" s="1320"/>
      <c r="U17" s="1332"/>
      <c r="V17" s="1337"/>
      <c r="W17" s="1321"/>
      <c r="X17" s="1337"/>
      <c r="Y17" s="1321"/>
    </row>
    <row r="18" spans="1:25" s="1260" customFormat="1" ht="21" customHeight="1" thickTop="1">
      <c r="A18" s="1265"/>
      <c r="B18" s="1266"/>
      <c r="C18" s="1382"/>
      <c r="D18" s="1383"/>
      <c r="E18" s="1383"/>
      <c r="F18" s="1277"/>
      <c r="G18" s="1313">
        <f>SUM(C18:F18)</f>
        <v>0</v>
      </c>
      <c r="H18" s="1275"/>
      <c r="I18" s="1276"/>
      <c r="J18" s="1276"/>
      <c r="K18" s="1277"/>
      <c r="L18" s="1313">
        <f>SUM(H18:K18)</f>
        <v>0</v>
      </c>
      <c r="M18" s="1275"/>
      <c r="N18" s="1276"/>
      <c r="O18" s="1276"/>
      <c r="P18" s="1277"/>
      <c r="Q18" s="1313">
        <f>SUM(M18:P18)</f>
        <v>0</v>
      </c>
      <c r="R18" s="1304">
        <f>C18-H18</f>
        <v>0</v>
      </c>
      <c r="S18" s="1305">
        <f>G18-L18</f>
        <v>0</v>
      </c>
      <c r="T18" s="1322"/>
      <c r="U18" s="1333"/>
      <c r="V18" s="1338"/>
      <c r="W18" s="1323"/>
      <c r="X18" s="1338"/>
      <c r="Y18" s="1323"/>
    </row>
    <row r="19" spans="1:25" s="1260" customFormat="1" ht="21" customHeight="1">
      <c r="A19" s="1267"/>
      <c r="B19" s="1268"/>
      <c r="C19" s="1275"/>
      <c r="D19" s="1276"/>
      <c r="E19" s="1276"/>
      <c r="F19" s="1277"/>
      <c r="G19" s="1313">
        <f t="shared" si="0"/>
        <v>0</v>
      </c>
      <c r="H19" s="1275"/>
      <c r="I19" s="1276"/>
      <c r="J19" s="1276"/>
      <c r="K19" s="1277"/>
      <c r="L19" s="1313">
        <f t="shared" si="1"/>
        <v>0</v>
      </c>
      <c r="M19" s="1275"/>
      <c r="N19" s="1276"/>
      <c r="O19" s="1276"/>
      <c r="P19" s="1277"/>
      <c r="Q19" s="1313">
        <f t="shared" si="2"/>
        <v>0</v>
      </c>
      <c r="R19" s="1304">
        <f t="shared" si="3"/>
        <v>0</v>
      </c>
      <c r="S19" s="1305">
        <f t="shared" si="4"/>
        <v>0</v>
      </c>
      <c r="T19" s="1322"/>
      <c r="U19" s="1333"/>
      <c r="V19" s="1338"/>
      <c r="W19" s="1323"/>
      <c r="X19" s="1338"/>
      <c r="Y19" s="1323"/>
    </row>
    <row r="20" spans="1:25" s="1260" customFormat="1" ht="21" customHeight="1" thickBot="1">
      <c r="A20" s="1269"/>
      <c r="B20" s="1270"/>
      <c r="C20" s="1278"/>
      <c r="D20" s="1279"/>
      <c r="E20" s="1279"/>
      <c r="F20" s="1280"/>
      <c r="G20" s="1314">
        <f t="shared" si="0"/>
        <v>0</v>
      </c>
      <c r="H20" s="1319"/>
      <c r="I20" s="1279"/>
      <c r="J20" s="1279"/>
      <c r="K20" s="1280"/>
      <c r="L20" s="1314">
        <f t="shared" si="1"/>
        <v>0</v>
      </c>
      <c r="M20" s="1278"/>
      <c r="N20" s="1279"/>
      <c r="O20" s="1279"/>
      <c r="P20" s="1280"/>
      <c r="Q20" s="1314">
        <f t="shared" si="2"/>
        <v>0</v>
      </c>
      <c r="R20" s="1306">
        <f t="shared" si="3"/>
        <v>0</v>
      </c>
      <c r="S20" s="1307">
        <f t="shared" si="4"/>
        <v>0</v>
      </c>
      <c r="T20" s="1324"/>
      <c r="U20" s="1334"/>
      <c r="V20" s="1339"/>
      <c r="W20" s="1325"/>
      <c r="X20" s="1339"/>
      <c r="Y20" s="1325"/>
    </row>
    <row r="21" spans="1:25" s="1260" customFormat="1" ht="21" customHeight="1" thickBot="1" thickTop="1">
      <c r="A21" s="2458" t="s">
        <v>781</v>
      </c>
      <c r="B21" s="2459"/>
      <c r="C21" s="1318">
        <f>SUM(C17:C20)</f>
        <v>0</v>
      </c>
      <c r="D21" s="1316">
        <f>SUM(D17:D20)</f>
        <v>0</v>
      </c>
      <c r="E21" s="1316">
        <f>SUM(E17:E20)</f>
        <v>0</v>
      </c>
      <c r="F21" s="1317">
        <f>SUM(F17:F20)</f>
        <v>0</v>
      </c>
      <c r="G21" s="1315">
        <f t="shared" si="0"/>
        <v>0</v>
      </c>
      <c r="H21" s="1318">
        <f>SUM(H17:H20)</f>
        <v>0</v>
      </c>
      <c r="I21" s="1316">
        <f>SUM(I17:I20)</f>
        <v>0</v>
      </c>
      <c r="J21" s="1316">
        <f>SUM(J17:J20)</f>
        <v>0</v>
      </c>
      <c r="K21" s="1317">
        <f>SUM(K17:K20)</f>
        <v>0</v>
      </c>
      <c r="L21" s="1315">
        <f t="shared" si="1"/>
        <v>0</v>
      </c>
      <c r="M21" s="1318">
        <f>SUM(M17:M20)</f>
        <v>0</v>
      </c>
      <c r="N21" s="1316">
        <f>SUM(N17:N20)</f>
        <v>0</v>
      </c>
      <c r="O21" s="1316">
        <f>SUM(O17:O20)</f>
        <v>0</v>
      </c>
      <c r="P21" s="1317">
        <f>SUM(P17:P20)</f>
        <v>0</v>
      </c>
      <c r="Q21" s="1315">
        <f t="shared" si="2"/>
        <v>0</v>
      </c>
      <c r="R21" s="1308">
        <f t="shared" si="3"/>
        <v>0</v>
      </c>
      <c r="S21" s="1309">
        <f t="shared" si="4"/>
        <v>0</v>
      </c>
      <c r="T21" s="1326">
        <f>ROUND(R21/1000,0)</f>
        <v>0</v>
      </c>
      <c r="U21" s="1335">
        <f>ROUND(S21/1000,0)</f>
        <v>0</v>
      </c>
      <c r="V21" s="1340"/>
      <c r="W21" s="1341"/>
      <c r="X21" s="1330">
        <f>T21+V21</f>
        <v>0</v>
      </c>
      <c r="Y21" s="1327">
        <f>U21+W21</f>
        <v>0</v>
      </c>
    </row>
    <row r="22" spans="1:25" s="1260" customFormat="1" ht="21" customHeight="1" hidden="1" thickTop="1">
      <c r="A22" s="1265"/>
      <c r="B22" s="1266"/>
      <c r="C22" s="1272"/>
      <c r="D22" s="1273"/>
      <c r="E22" s="1273"/>
      <c r="F22" s="1274"/>
      <c r="G22" s="1312">
        <f t="shared" si="0"/>
        <v>0</v>
      </c>
      <c r="H22" s="1272"/>
      <c r="I22" s="1273"/>
      <c r="J22" s="1273"/>
      <c r="K22" s="1274"/>
      <c r="L22" s="1312">
        <f t="shared" si="1"/>
        <v>0</v>
      </c>
      <c r="M22" s="1272"/>
      <c r="N22" s="1273"/>
      <c r="O22" s="1273"/>
      <c r="P22" s="1274"/>
      <c r="Q22" s="1312">
        <f t="shared" si="2"/>
        <v>0</v>
      </c>
      <c r="R22" s="1310">
        <f t="shared" si="3"/>
        <v>0</v>
      </c>
      <c r="S22" s="1311">
        <f t="shared" si="4"/>
        <v>0</v>
      </c>
      <c r="T22" s="1320"/>
      <c r="U22" s="1332"/>
      <c r="V22" s="1337"/>
      <c r="W22" s="1321"/>
      <c r="X22" s="1337"/>
      <c r="Y22" s="1321"/>
    </row>
    <row r="23" spans="1:25" s="1260" customFormat="1" ht="21" customHeight="1" thickTop="1">
      <c r="A23" s="1267"/>
      <c r="B23" s="1268"/>
      <c r="C23" s="1275"/>
      <c r="D23" s="1276"/>
      <c r="E23" s="1276"/>
      <c r="F23" s="1277"/>
      <c r="G23" s="1313">
        <f t="shared" si="0"/>
        <v>0</v>
      </c>
      <c r="H23" s="1275"/>
      <c r="I23" s="1276"/>
      <c r="J23" s="1276"/>
      <c r="K23" s="1277"/>
      <c r="L23" s="1313">
        <f t="shared" si="1"/>
        <v>0</v>
      </c>
      <c r="M23" s="1275"/>
      <c r="N23" s="1276"/>
      <c r="O23" s="1276"/>
      <c r="P23" s="1277"/>
      <c r="Q23" s="1313">
        <f t="shared" si="2"/>
        <v>0</v>
      </c>
      <c r="R23" s="1304">
        <f t="shared" si="3"/>
        <v>0</v>
      </c>
      <c r="S23" s="1305">
        <f t="shared" si="4"/>
        <v>0</v>
      </c>
      <c r="T23" s="1322"/>
      <c r="U23" s="1333"/>
      <c r="V23" s="1338"/>
      <c r="W23" s="1323"/>
      <c r="X23" s="1338"/>
      <c r="Y23" s="1323"/>
    </row>
    <row r="24" spans="1:25" s="1260" customFormat="1" ht="21" customHeight="1">
      <c r="A24" s="1269"/>
      <c r="B24" s="1270"/>
      <c r="C24" s="1278"/>
      <c r="D24" s="1279"/>
      <c r="E24" s="1279"/>
      <c r="F24" s="1277"/>
      <c r="G24" s="1313">
        <f>SUM(C24:F24)</f>
        <v>0</v>
      </c>
      <c r="H24" s="1275"/>
      <c r="I24" s="1276"/>
      <c r="J24" s="1276"/>
      <c r="K24" s="1277"/>
      <c r="L24" s="1313">
        <f>SUM(H24:K24)</f>
        <v>0</v>
      </c>
      <c r="M24" s="1275"/>
      <c r="N24" s="1276"/>
      <c r="O24" s="1276"/>
      <c r="P24" s="1277"/>
      <c r="Q24" s="1313">
        <f>SUM(M24:P24)</f>
        <v>0</v>
      </c>
      <c r="R24" s="1304">
        <f>C24-H24</f>
        <v>0</v>
      </c>
      <c r="S24" s="1305">
        <f>G24-L24</f>
        <v>0</v>
      </c>
      <c r="T24" s="1322"/>
      <c r="U24" s="1333"/>
      <c r="V24" s="1338"/>
      <c r="W24" s="1323"/>
      <c r="X24" s="1338"/>
      <c r="Y24" s="1323"/>
    </row>
    <row r="25" spans="1:25" s="1260" customFormat="1" ht="21" customHeight="1" thickBot="1">
      <c r="A25" s="1269"/>
      <c r="B25" s="1270"/>
      <c r="C25" s="1278"/>
      <c r="D25" s="1279"/>
      <c r="E25" s="1279"/>
      <c r="F25" s="1280"/>
      <c r="G25" s="1314">
        <f t="shared" si="0"/>
        <v>0</v>
      </c>
      <c r="H25" s="1278"/>
      <c r="I25" s="1279"/>
      <c r="J25" s="1279"/>
      <c r="K25" s="1280"/>
      <c r="L25" s="1314">
        <f t="shared" si="1"/>
        <v>0</v>
      </c>
      <c r="M25" s="1278"/>
      <c r="N25" s="1279"/>
      <c r="O25" s="1279"/>
      <c r="P25" s="1280"/>
      <c r="Q25" s="1314">
        <f t="shared" si="2"/>
        <v>0</v>
      </c>
      <c r="R25" s="1306">
        <f t="shared" si="3"/>
        <v>0</v>
      </c>
      <c r="S25" s="1307">
        <f t="shared" si="4"/>
        <v>0</v>
      </c>
      <c r="T25" s="1324"/>
      <c r="U25" s="1334"/>
      <c r="V25" s="1339"/>
      <c r="W25" s="1325"/>
      <c r="X25" s="1339"/>
      <c r="Y25" s="1325"/>
    </row>
    <row r="26" spans="1:25" s="1260" customFormat="1" ht="21" customHeight="1" thickBot="1" thickTop="1">
      <c r="A26" s="2458" t="s">
        <v>203</v>
      </c>
      <c r="B26" s="2459"/>
      <c r="C26" s="1318">
        <f>SUM(C22:C25)</f>
        <v>0</v>
      </c>
      <c r="D26" s="1316">
        <f>SUM(D22:D25)</f>
        <v>0</v>
      </c>
      <c r="E26" s="1316">
        <f>SUM(E22:E25)</f>
        <v>0</v>
      </c>
      <c r="F26" s="1317">
        <f>SUM(F22:F25)</f>
        <v>0</v>
      </c>
      <c r="G26" s="1315">
        <f t="shared" si="0"/>
        <v>0</v>
      </c>
      <c r="H26" s="1318">
        <f>SUM(H22:H25)</f>
        <v>0</v>
      </c>
      <c r="I26" s="1316">
        <f>SUM(I22:I25)</f>
        <v>0</v>
      </c>
      <c r="J26" s="1316">
        <f>SUM(J22:J25)</f>
        <v>0</v>
      </c>
      <c r="K26" s="1317">
        <f>SUM(K22:K25)</f>
        <v>0</v>
      </c>
      <c r="L26" s="1315">
        <f t="shared" si="1"/>
        <v>0</v>
      </c>
      <c r="M26" s="1318">
        <f>SUM(M22:M25)</f>
        <v>0</v>
      </c>
      <c r="N26" s="1316">
        <f>SUM(N22:N25)</f>
        <v>0</v>
      </c>
      <c r="O26" s="1316">
        <f>SUM(O22:O25)</f>
        <v>0</v>
      </c>
      <c r="P26" s="1317">
        <f>SUM(P22:P25)</f>
        <v>0</v>
      </c>
      <c r="Q26" s="1315">
        <f t="shared" si="2"/>
        <v>0</v>
      </c>
      <c r="R26" s="1308">
        <f t="shared" si="3"/>
        <v>0</v>
      </c>
      <c r="S26" s="1309">
        <f t="shared" si="4"/>
        <v>0</v>
      </c>
      <c r="T26" s="1326">
        <f>ROUND(R26/1000,0)</f>
        <v>0</v>
      </c>
      <c r="U26" s="1335">
        <f>ROUND(S26/1000,0)</f>
        <v>0</v>
      </c>
      <c r="V26" s="1340"/>
      <c r="W26" s="1341"/>
      <c r="X26" s="1330">
        <f>T26+V26</f>
        <v>0</v>
      </c>
      <c r="Y26" s="1327">
        <f>U26+W26</f>
        <v>0</v>
      </c>
    </row>
    <row r="27" spans="1:25" s="1260" customFormat="1" ht="21" customHeight="1" hidden="1" thickTop="1">
      <c r="A27" s="1265"/>
      <c r="B27" s="1266"/>
      <c r="C27" s="1272"/>
      <c r="D27" s="1273"/>
      <c r="E27" s="1273"/>
      <c r="F27" s="1274"/>
      <c r="G27" s="1312">
        <f t="shared" si="0"/>
        <v>0</v>
      </c>
      <c r="H27" s="1272"/>
      <c r="I27" s="1273"/>
      <c r="J27" s="1273"/>
      <c r="K27" s="1274"/>
      <c r="L27" s="1312">
        <f t="shared" si="1"/>
        <v>0</v>
      </c>
      <c r="M27" s="1272"/>
      <c r="N27" s="1273"/>
      <c r="O27" s="1273"/>
      <c r="P27" s="1274"/>
      <c r="Q27" s="1312">
        <f t="shared" si="2"/>
        <v>0</v>
      </c>
      <c r="R27" s="1310">
        <f t="shared" si="3"/>
        <v>0</v>
      </c>
      <c r="S27" s="1311">
        <f t="shared" si="4"/>
        <v>0</v>
      </c>
      <c r="T27" s="1320"/>
      <c r="U27" s="1332"/>
      <c r="V27" s="1337"/>
      <c r="W27" s="1321"/>
      <c r="X27" s="1337"/>
      <c r="Y27" s="1321"/>
    </row>
    <row r="28" spans="1:25" s="1260" customFormat="1" ht="21" customHeight="1" thickTop="1">
      <c r="A28" s="1267"/>
      <c r="B28" s="1268"/>
      <c r="C28" s="1275"/>
      <c r="D28" s="1276"/>
      <c r="E28" s="1276"/>
      <c r="F28" s="1277"/>
      <c r="G28" s="1313">
        <f t="shared" si="0"/>
        <v>0</v>
      </c>
      <c r="H28" s="1275"/>
      <c r="I28" s="1276"/>
      <c r="J28" s="1276"/>
      <c r="K28" s="1277"/>
      <c r="L28" s="1313">
        <f t="shared" si="1"/>
        <v>0</v>
      </c>
      <c r="M28" s="1275"/>
      <c r="N28" s="1276"/>
      <c r="O28" s="1276"/>
      <c r="P28" s="1277"/>
      <c r="Q28" s="1313">
        <f t="shared" si="2"/>
        <v>0</v>
      </c>
      <c r="R28" s="1304">
        <f t="shared" si="3"/>
        <v>0</v>
      </c>
      <c r="S28" s="1305">
        <f t="shared" si="4"/>
        <v>0</v>
      </c>
      <c r="T28" s="1322"/>
      <c r="U28" s="1333"/>
      <c r="V28" s="1338"/>
      <c r="W28" s="1323"/>
      <c r="X28" s="1338"/>
      <c r="Y28" s="1323"/>
    </row>
    <row r="29" spans="1:25" s="1260" customFormat="1" ht="21" customHeight="1">
      <c r="A29" s="1269"/>
      <c r="B29" s="1270"/>
      <c r="C29" s="1278"/>
      <c r="D29" s="1276"/>
      <c r="E29" s="1276"/>
      <c r="F29" s="1277"/>
      <c r="G29" s="1313">
        <f>SUM(C29:F29)</f>
        <v>0</v>
      </c>
      <c r="H29" s="1275"/>
      <c r="I29" s="1276"/>
      <c r="J29" s="1276"/>
      <c r="K29" s="1277"/>
      <c r="L29" s="1313">
        <f>SUM(H29:K29)</f>
        <v>0</v>
      </c>
      <c r="M29" s="1275"/>
      <c r="N29" s="1276"/>
      <c r="O29" s="1276"/>
      <c r="P29" s="1277"/>
      <c r="Q29" s="1313">
        <f>SUM(M29:P29)</f>
        <v>0</v>
      </c>
      <c r="R29" s="1304">
        <f>C29-H29</f>
        <v>0</v>
      </c>
      <c r="S29" s="1305">
        <f>G29-L29</f>
        <v>0</v>
      </c>
      <c r="T29" s="1322"/>
      <c r="U29" s="1333"/>
      <c r="V29" s="1338"/>
      <c r="W29" s="1323"/>
      <c r="X29" s="1338"/>
      <c r="Y29" s="1323"/>
    </row>
    <row r="30" spans="1:25" s="1260" customFormat="1" ht="21" customHeight="1" thickBot="1">
      <c r="A30" s="1269"/>
      <c r="B30" s="1270"/>
      <c r="C30" s="1278"/>
      <c r="D30" s="1279"/>
      <c r="E30" s="1279"/>
      <c r="F30" s="1280"/>
      <c r="G30" s="1314">
        <f t="shared" si="0"/>
        <v>0</v>
      </c>
      <c r="H30" s="1278"/>
      <c r="I30" s="1279"/>
      <c r="J30" s="1279"/>
      <c r="K30" s="1280"/>
      <c r="L30" s="1314">
        <f t="shared" si="1"/>
        <v>0</v>
      </c>
      <c r="M30" s="1278"/>
      <c r="N30" s="1279"/>
      <c r="O30" s="1279"/>
      <c r="P30" s="1280"/>
      <c r="Q30" s="1314">
        <f t="shared" si="2"/>
        <v>0</v>
      </c>
      <c r="R30" s="1306">
        <f t="shared" si="3"/>
        <v>0</v>
      </c>
      <c r="S30" s="1307">
        <f t="shared" si="4"/>
        <v>0</v>
      </c>
      <c r="T30" s="1324"/>
      <c r="U30" s="1334"/>
      <c r="V30" s="1339"/>
      <c r="W30" s="1325"/>
      <c r="X30" s="1339"/>
      <c r="Y30" s="1325"/>
    </row>
    <row r="31" spans="1:25" s="1260" customFormat="1" ht="21" customHeight="1" thickBot="1" thickTop="1">
      <c r="A31" s="2458" t="s">
        <v>206</v>
      </c>
      <c r="B31" s="2459"/>
      <c r="C31" s="1318">
        <f>SUM(C27:C30)</f>
        <v>0</v>
      </c>
      <c r="D31" s="1316">
        <f>SUM(D27:D30)</f>
        <v>0</v>
      </c>
      <c r="E31" s="1316">
        <f>SUM(E27:E30)</f>
        <v>0</v>
      </c>
      <c r="F31" s="1317">
        <f>SUM(F27:F30)</f>
        <v>0</v>
      </c>
      <c r="G31" s="1315">
        <f t="shared" si="0"/>
        <v>0</v>
      </c>
      <c r="H31" s="1318">
        <f>SUM(H27:H30)</f>
        <v>0</v>
      </c>
      <c r="I31" s="1316">
        <f>SUM(I27:I30)</f>
        <v>0</v>
      </c>
      <c r="J31" s="1316">
        <f>SUM(J27:J30)</f>
        <v>0</v>
      </c>
      <c r="K31" s="1317">
        <f>SUM(K27:K30)</f>
        <v>0</v>
      </c>
      <c r="L31" s="1315">
        <f t="shared" si="1"/>
        <v>0</v>
      </c>
      <c r="M31" s="1318">
        <f>SUM(M27:M30)</f>
        <v>0</v>
      </c>
      <c r="N31" s="1316">
        <f>SUM(N27:N30)</f>
        <v>0</v>
      </c>
      <c r="O31" s="1316">
        <f>SUM(O27:O30)</f>
        <v>0</v>
      </c>
      <c r="P31" s="1317">
        <f>SUM(P27:P30)</f>
        <v>0</v>
      </c>
      <c r="Q31" s="1315">
        <f t="shared" si="2"/>
        <v>0</v>
      </c>
      <c r="R31" s="1308">
        <f t="shared" si="3"/>
        <v>0</v>
      </c>
      <c r="S31" s="1309">
        <f t="shared" si="4"/>
        <v>0</v>
      </c>
      <c r="T31" s="1326">
        <f>ROUND(R31/1000,0)</f>
        <v>0</v>
      </c>
      <c r="U31" s="1335">
        <f>ROUND(S31/1000,0)</f>
        <v>0</v>
      </c>
      <c r="V31" s="1340"/>
      <c r="W31" s="1341"/>
      <c r="X31" s="1330">
        <f>T31+V31</f>
        <v>0</v>
      </c>
      <c r="Y31" s="1327">
        <f>U31+W31</f>
        <v>0</v>
      </c>
    </row>
    <row r="32" spans="1:25" s="1260" customFormat="1" ht="21" customHeight="1" hidden="1" thickTop="1">
      <c r="A32" s="1265"/>
      <c r="B32" s="1266"/>
      <c r="C32" s="1272"/>
      <c r="D32" s="1273"/>
      <c r="E32" s="1273"/>
      <c r="F32" s="1274"/>
      <c r="G32" s="1312">
        <f t="shared" si="0"/>
        <v>0</v>
      </c>
      <c r="H32" s="1281"/>
      <c r="I32" s="1282"/>
      <c r="J32" s="1282"/>
      <c r="K32" s="1283"/>
      <c r="L32" s="1284"/>
      <c r="M32" s="1272"/>
      <c r="N32" s="1273"/>
      <c r="O32" s="1273"/>
      <c r="P32" s="1274"/>
      <c r="Q32" s="1312">
        <f t="shared" si="2"/>
        <v>0</v>
      </c>
      <c r="R32" s="1310">
        <f t="shared" si="3"/>
        <v>0</v>
      </c>
      <c r="S32" s="1311">
        <f t="shared" si="4"/>
        <v>0</v>
      </c>
      <c r="T32" s="1320"/>
      <c r="U32" s="1332"/>
      <c r="V32" s="1337"/>
      <c r="W32" s="1321"/>
      <c r="X32" s="1337"/>
      <c r="Y32" s="1321"/>
    </row>
    <row r="33" spans="1:25" s="1260" customFormat="1" ht="21" customHeight="1" thickTop="1">
      <c r="A33" s="1267"/>
      <c r="B33" s="1268"/>
      <c r="C33" s="1275"/>
      <c r="D33" s="1276"/>
      <c r="E33" s="1276"/>
      <c r="F33" s="1277"/>
      <c r="G33" s="1313">
        <f t="shared" si="0"/>
        <v>0</v>
      </c>
      <c r="H33" s="1285"/>
      <c r="I33" s="1286"/>
      <c r="J33" s="1286"/>
      <c r="K33" s="1287"/>
      <c r="L33" s="1288"/>
      <c r="M33" s="1275"/>
      <c r="N33" s="1276"/>
      <c r="O33" s="1276"/>
      <c r="P33" s="1277"/>
      <c r="Q33" s="1313">
        <f t="shared" si="2"/>
        <v>0</v>
      </c>
      <c r="R33" s="1304">
        <f t="shared" si="3"/>
        <v>0</v>
      </c>
      <c r="S33" s="1305">
        <f t="shared" si="4"/>
        <v>0</v>
      </c>
      <c r="T33" s="1322"/>
      <c r="U33" s="1333"/>
      <c r="V33" s="1338"/>
      <c r="W33" s="1323"/>
      <c r="X33" s="1338"/>
      <c r="Y33" s="1323"/>
    </row>
    <row r="34" spans="1:25" s="1260" customFormat="1" ht="21" customHeight="1">
      <c r="A34" s="1269"/>
      <c r="B34" s="1270"/>
      <c r="C34" s="1278"/>
      <c r="D34" s="1279"/>
      <c r="E34" s="1279"/>
      <c r="F34" s="1277"/>
      <c r="G34" s="1313">
        <f>SUM(C34:F34)</f>
        <v>0</v>
      </c>
      <c r="H34" s="1285"/>
      <c r="I34" s="1286"/>
      <c r="J34" s="1286"/>
      <c r="K34" s="1287"/>
      <c r="L34" s="1288"/>
      <c r="M34" s="1275"/>
      <c r="N34" s="1276"/>
      <c r="O34" s="1276"/>
      <c r="P34" s="1277"/>
      <c r="Q34" s="1313">
        <f>SUM(M34:P34)</f>
        <v>0</v>
      </c>
      <c r="R34" s="1304">
        <f>C34-H34</f>
        <v>0</v>
      </c>
      <c r="S34" s="1305">
        <f>G34-L34</f>
        <v>0</v>
      </c>
      <c r="T34" s="1322"/>
      <c r="U34" s="1333"/>
      <c r="V34" s="1338"/>
      <c r="W34" s="1323"/>
      <c r="X34" s="1338"/>
      <c r="Y34" s="1323"/>
    </row>
    <row r="35" spans="1:25" s="1260" customFormat="1" ht="21" customHeight="1" thickBot="1">
      <c r="A35" s="1269"/>
      <c r="B35" s="1270"/>
      <c r="C35" s="1278"/>
      <c r="D35" s="1279"/>
      <c r="E35" s="1279"/>
      <c r="F35" s="1280"/>
      <c r="G35" s="1314">
        <f t="shared" si="0"/>
        <v>0</v>
      </c>
      <c r="H35" s="1289"/>
      <c r="I35" s="1290"/>
      <c r="J35" s="1290"/>
      <c r="K35" s="1291"/>
      <c r="L35" s="1292"/>
      <c r="M35" s="1278"/>
      <c r="N35" s="1279"/>
      <c r="O35" s="1279"/>
      <c r="P35" s="1280"/>
      <c r="Q35" s="1314">
        <f t="shared" si="2"/>
        <v>0</v>
      </c>
      <c r="R35" s="1306">
        <f t="shared" si="3"/>
        <v>0</v>
      </c>
      <c r="S35" s="1307">
        <f t="shared" si="4"/>
        <v>0</v>
      </c>
      <c r="T35" s="1324"/>
      <c r="U35" s="1334"/>
      <c r="V35" s="1339"/>
      <c r="W35" s="1325"/>
      <c r="X35" s="1339"/>
      <c r="Y35" s="1325"/>
    </row>
    <row r="36" spans="1:25" s="1260" customFormat="1" ht="21" customHeight="1" thickBot="1" thickTop="1">
      <c r="A36" s="2458" t="s">
        <v>782</v>
      </c>
      <c r="B36" s="2459"/>
      <c r="C36" s="1318">
        <f>SUM(C32:C35)</f>
        <v>0</v>
      </c>
      <c r="D36" s="1316">
        <f>SUM(D32:D35)</f>
        <v>0</v>
      </c>
      <c r="E36" s="1316">
        <f>SUM(E32:E35)</f>
        <v>0</v>
      </c>
      <c r="F36" s="1317">
        <f>SUM(F32:F35)</f>
        <v>0</v>
      </c>
      <c r="G36" s="1315">
        <f t="shared" si="0"/>
        <v>0</v>
      </c>
      <c r="H36" s="1293"/>
      <c r="I36" s="1294"/>
      <c r="J36" s="1294"/>
      <c r="K36" s="1295"/>
      <c r="L36" s="1296"/>
      <c r="M36" s="1318">
        <f>SUM(M32:M35)</f>
        <v>0</v>
      </c>
      <c r="N36" s="1316">
        <f>SUM(N32:N35)</f>
        <v>0</v>
      </c>
      <c r="O36" s="1316">
        <f>SUM(O32:O35)</f>
        <v>0</v>
      </c>
      <c r="P36" s="1317">
        <f>SUM(P32:P35)</f>
        <v>0</v>
      </c>
      <c r="Q36" s="1315">
        <f t="shared" si="2"/>
        <v>0</v>
      </c>
      <c r="R36" s="1308">
        <f t="shared" si="3"/>
        <v>0</v>
      </c>
      <c r="S36" s="1309">
        <f t="shared" si="4"/>
        <v>0</v>
      </c>
      <c r="T36" s="1326">
        <f>ROUND(R36/1000,0)</f>
        <v>0</v>
      </c>
      <c r="U36" s="1335">
        <f>ROUND(S36/1000,0)</f>
        <v>0</v>
      </c>
      <c r="V36" s="1340"/>
      <c r="W36" s="1341"/>
      <c r="X36" s="1330">
        <f>T36+V36</f>
        <v>0</v>
      </c>
      <c r="Y36" s="1327">
        <f>U36+W36</f>
        <v>0</v>
      </c>
    </row>
    <row r="37" spans="1:25" s="1260" customFormat="1" ht="21" customHeight="1" hidden="1" thickTop="1">
      <c r="A37" s="1265"/>
      <c r="B37" s="1266"/>
      <c r="C37" s="1272"/>
      <c r="D37" s="1273"/>
      <c r="E37" s="1273"/>
      <c r="F37" s="1274"/>
      <c r="G37" s="1312">
        <f t="shared" si="0"/>
        <v>0</v>
      </c>
      <c r="H37" s="1281"/>
      <c r="I37" s="1282"/>
      <c r="J37" s="1282"/>
      <c r="K37" s="1283"/>
      <c r="L37" s="1284"/>
      <c r="M37" s="1281"/>
      <c r="N37" s="1282"/>
      <c r="O37" s="1282"/>
      <c r="P37" s="1283"/>
      <c r="Q37" s="1284"/>
      <c r="R37" s="1310">
        <f t="shared" si="3"/>
        <v>0</v>
      </c>
      <c r="S37" s="1311">
        <f t="shared" si="4"/>
        <v>0</v>
      </c>
      <c r="T37" s="1320"/>
      <c r="U37" s="1332"/>
      <c r="V37" s="1337"/>
      <c r="W37" s="1321"/>
      <c r="X37" s="1337"/>
      <c r="Y37" s="1321"/>
    </row>
    <row r="38" spans="1:25" s="1260" customFormat="1" ht="21" customHeight="1" thickTop="1">
      <c r="A38" s="1267"/>
      <c r="B38" s="1268"/>
      <c r="C38" s="1275"/>
      <c r="D38" s="1276"/>
      <c r="E38" s="1276"/>
      <c r="F38" s="1277"/>
      <c r="G38" s="1313">
        <f t="shared" si="0"/>
        <v>0</v>
      </c>
      <c r="H38" s="1285"/>
      <c r="I38" s="1286"/>
      <c r="J38" s="1286"/>
      <c r="K38" s="1287"/>
      <c r="L38" s="1288"/>
      <c r="M38" s="1285"/>
      <c r="N38" s="1286"/>
      <c r="O38" s="1286"/>
      <c r="P38" s="1287"/>
      <c r="Q38" s="1288"/>
      <c r="R38" s="1304">
        <f t="shared" si="3"/>
        <v>0</v>
      </c>
      <c r="S38" s="1305">
        <f t="shared" si="4"/>
        <v>0</v>
      </c>
      <c r="T38" s="1322"/>
      <c r="U38" s="1333"/>
      <c r="V38" s="1338"/>
      <c r="W38" s="1323"/>
      <c r="X38" s="1338"/>
      <c r="Y38" s="1323"/>
    </row>
    <row r="39" spans="1:25" s="1260" customFormat="1" ht="21" customHeight="1">
      <c r="A39" s="1269"/>
      <c r="B39" s="1270"/>
      <c r="C39" s="1278"/>
      <c r="D39" s="1279"/>
      <c r="E39" s="1279"/>
      <c r="F39" s="1280"/>
      <c r="G39" s="1313">
        <f>SUM(C39:F39)</f>
        <v>0</v>
      </c>
      <c r="H39" s="1285"/>
      <c r="I39" s="1286"/>
      <c r="J39" s="1286"/>
      <c r="K39" s="1287"/>
      <c r="L39" s="1288"/>
      <c r="M39" s="1285"/>
      <c r="N39" s="1286"/>
      <c r="O39" s="1286"/>
      <c r="P39" s="1287"/>
      <c r="Q39" s="1288"/>
      <c r="R39" s="1304">
        <f>C39-H39</f>
        <v>0</v>
      </c>
      <c r="S39" s="1305">
        <f>G39-L39</f>
        <v>0</v>
      </c>
      <c r="T39" s="1322"/>
      <c r="U39" s="1333"/>
      <c r="V39" s="1338"/>
      <c r="W39" s="1323"/>
      <c r="X39" s="1338"/>
      <c r="Y39" s="1323"/>
    </row>
    <row r="40" spans="1:25" s="1260" customFormat="1" ht="21" customHeight="1" thickBot="1">
      <c r="A40" s="1269"/>
      <c r="B40" s="1270"/>
      <c r="C40" s="1278"/>
      <c r="D40" s="1279"/>
      <c r="E40" s="1279"/>
      <c r="F40" s="1280"/>
      <c r="G40" s="1314">
        <f t="shared" si="0"/>
        <v>0</v>
      </c>
      <c r="H40" s="1289"/>
      <c r="I40" s="1290"/>
      <c r="J40" s="1290"/>
      <c r="K40" s="1291"/>
      <c r="L40" s="1292"/>
      <c r="M40" s="1289"/>
      <c r="N40" s="1290"/>
      <c r="O40" s="1290"/>
      <c r="P40" s="1291"/>
      <c r="Q40" s="1292"/>
      <c r="R40" s="1306">
        <f t="shared" si="3"/>
        <v>0</v>
      </c>
      <c r="S40" s="1307">
        <f t="shared" si="4"/>
        <v>0</v>
      </c>
      <c r="T40" s="1324"/>
      <c r="U40" s="1334"/>
      <c r="V40" s="1339"/>
      <c r="W40" s="1325"/>
      <c r="X40" s="1339"/>
      <c r="Y40" s="1325"/>
    </row>
    <row r="41" spans="1:25" s="1260" customFormat="1" ht="21" customHeight="1" thickBot="1" thickTop="1">
      <c r="A41" s="2458" t="s">
        <v>207</v>
      </c>
      <c r="B41" s="2459"/>
      <c r="C41" s="1318">
        <f>SUM(C37:C40)</f>
        <v>0</v>
      </c>
      <c r="D41" s="1316">
        <f>SUM(D37:D40)</f>
        <v>0</v>
      </c>
      <c r="E41" s="1316">
        <f>SUM(E37:E40)</f>
        <v>0</v>
      </c>
      <c r="F41" s="1317">
        <f>SUM(F37:F40)</f>
        <v>0</v>
      </c>
      <c r="G41" s="1315">
        <f t="shared" si="0"/>
        <v>0</v>
      </c>
      <c r="H41" s="1293"/>
      <c r="I41" s="1294"/>
      <c r="J41" s="1294"/>
      <c r="K41" s="1295"/>
      <c r="L41" s="1296"/>
      <c r="M41" s="1293"/>
      <c r="N41" s="1294"/>
      <c r="O41" s="1294"/>
      <c r="P41" s="1295"/>
      <c r="Q41" s="1296"/>
      <c r="R41" s="1308">
        <f t="shared" si="3"/>
        <v>0</v>
      </c>
      <c r="S41" s="1309">
        <f t="shared" si="4"/>
        <v>0</v>
      </c>
      <c r="T41" s="1326">
        <f>ROUND(R41/1000,0)</f>
        <v>0</v>
      </c>
      <c r="U41" s="1335">
        <f>ROUND(S41/1000,0)</f>
        <v>0</v>
      </c>
      <c r="V41" s="1340"/>
      <c r="W41" s="1341"/>
      <c r="X41" s="1330">
        <f>T41+V41</f>
        <v>0</v>
      </c>
      <c r="Y41" s="1327">
        <f>U41+W41</f>
        <v>0</v>
      </c>
    </row>
    <row r="42" spans="1:25" s="1260" customFormat="1" ht="21" customHeight="1" thickBot="1" thickTop="1">
      <c r="A42" s="1271"/>
      <c r="B42" s="1271"/>
      <c r="C42" s="1297"/>
      <c r="D42" s="1297"/>
      <c r="E42" s="1297"/>
      <c r="F42" s="1297"/>
      <c r="G42" s="1297"/>
      <c r="H42" s="1297"/>
      <c r="I42" s="1297"/>
      <c r="J42" s="1297"/>
      <c r="K42" s="1297"/>
      <c r="L42" s="1297"/>
      <c r="M42" s="1297"/>
      <c r="N42" s="1297"/>
      <c r="O42" s="1297"/>
      <c r="P42" s="1297"/>
      <c r="Q42" s="1297"/>
      <c r="R42" s="1297"/>
      <c r="S42" s="1297"/>
      <c r="T42" s="1297"/>
      <c r="U42" s="1297"/>
      <c r="V42" s="1328"/>
      <c r="W42" s="1329"/>
      <c r="X42" s="1329"/>
      <c r="Y42" s="1329"/>
    </row>
    <row r="43" spans="1:25" s="1260" customFormat="1" ht="21" customHeight="1" thickBot="1" thickTop="1">
      <c r="A43" s="2458" t="s">
        <v>40</v>
      </c>
      <c r="B43" s="2460"/>
      <c r="C43" s="1298">
        <f aca="true" t="shared" si="5" ref="C43:W43">SUM(C41,C36,C31,C26,C21,C16,C11)</f>
        <v>0</v>
      </c>
      <c r="D43" s="1299">
        <f t="shared" si="5"/>
        <v>0</v>
      </c>
      <c r="E43" s="1299">
        <f t="shared" si="5"/>
        <v>0</v>
      </c>
      <c r="F43" s="1299">
        <f t="shared" si="5"/>
        <v>0</v>
      </c>
      <c r="G43" s="1300">
        <f t="shared" si="5"/>
        <v>0</v>
      </c>
      <c r="H43" s="1298">
        <f t="shared" si="5"/>
        <v>0</v>
      </c>
      <c r="I43" s="1299">
        <f t="shared" si="5"/>
        <v>0</v>
      </c>
      <c r="J43" s="1299">
        <f t="shared" si="5"/>
        <v>0</v>
      </c>
      <c r="K43" s="1299">
        <f t="shared" si="5"/>
        <v>0</v>
      </c>
      <c r="L43" s="1300">
        <f t="shared" si="5"/>
        <v>0</v>
      </c>
      <c r="M43" s="1298">
        <f t="shared" si="5"/>
        <v>0</v>
      </c>
      <c r="N43" s="1299">
        <f t="shared" si="5"/>
        <v>0</v>
      </c>
      <c r="O43" s="1299">
        <f t="shared" si="5"/>
        <v>0</v>
      </c>
      <c r="P43" s="1299">
        <f t="shared" si="5"/>
        <v>0</v>
      </c>
      <c r="Q43" s="1300">
        <f t="shared" si="5"/>
        <v>0</v>
      </c>
      <c r="R43" s="1298">
        <f t="shared" si="5"/>
        <v>0</v>
      </c>
      <c r="S43" s="1301">
        <f t="shared" si="5"/>
        <v>0</v>
      </c>
      <c r="T43" s="1344">
        <f t="shared" si="5"/>
        <v>0</v>
      </c>
      <c r="U43" s="1317">
        <f t="shared" si="5"/>
        <v>0</v>
      </c>
      <c r="V43" s="1344">
        <f t="shared" si="5"/>
        <v>0</v>
      </c>
      <c r="W43" s="1317">
        <f t="shared" si="5"/>
        <v>0</v>
      </c>
      <c r="X43" s="1342">
        <f>ROUND(R43/1000,0)</f>
        <v>0</v>
      </c>
      <c r="Y43" s="1343">
        <f>ROUND(S43/1000,0)</f>
        <v>0</v>
      </c>
    </row>
    <row r="44" spans="24:25" ht="16.5" thickBot="1" thickTop="1">
      <c r="X44" s="1345" t="str">
        <f>IF(X43-V43-T43=0,"OK",X43-V43-T43)</f>
        <v>OK</v>
      </c>
      <c r="Y44" s="1345" t="str">
        <f>IF(Y43-W43-U43=0,"OK",Y43-W43-U43)</f>
        <v>OK</v>
      </c>
    </row>
    <row r="50" ht="12.75"/>
    <row r="51" ht="12.75"/>
    <row r="52" ht="12.75"/>
    <row r="54" ht="12.75"/>
    <row r="55" ht="12.75"/>
    <row r="56" ht="12.75"/>
    <row r="57" ht="12.75"/>
    <row r="58" ht="12.75"/>
    <row r="59" ht="12.75"/>
    <row r="60" ht="12.75"/>
  </sheetData>
  <mergeCells count="15">
    <mergeCell ref="T5:U5"/>
    <mergeCell ref="V5:W5"/>
    <mergeCell ref="X5:Y5"/>
    <mergeCell ref="A43:B43"/>
    <mergeCell ref="M5:Q5"/>
    <mergeCell ref="R5:S5"/>
    <mergeCell ref="A26:B26"/>
    <mergeCell ref="A31:B31"/>
    <mergeCell ref="A36:B36"/>
    <mergeCell ref="A41:B41"/>
    <mergeCell ref="A11:B11"/>
    <mergeCell ref="A16:B16"/>
    <mergeCell ref="A21:B21"/>
    <mergeCell ref="A5:A6"/>
    <mergeCell ref="B5:B6"/>
  </mergeCells>
  <printOptions horizontalCentered="1"/>
  <pageMargins left="0.5905511811023623" right="0.5905511811023623" top="0.5905511811023623" bottom="0.5905511811023623" header="0.3937007874015748" footer="0.3937007874015748"/>
  <pageSetup horizontalDpi="600" verticalDpi="600" orientation="landscape" paperSize="9" scale="63" r:id="rId3"/>
  <headerFooter alignWithMargins="0">
    <oddFooter>&amp;L&amp;U                                                &amp;U
        vállalkozás vezetője
             (képviselője)&amp;C&amp;P/&amp;N&amp;R&amp;A</oddFooter>
  </headerFooter>
  <legacyDrawing r:id="rId2"/>
</worksheet>
</file>

<file path=xl/worksheets/sheet49.xml><?xml version="1.0" encoding="utf-8"?>
<worksheet xmlns="http://schemas.openxmlformats.org/spreadsheetml/2006/main" xmlns:r="http://schemas.openxmlformats.org/officeDocument/2006/relationships">
  <sheetPr codeName="Munka39"/>
  <dimension ref="A1:U49"/>
  <sheetViews>
    <sheetView workbookViewId="0" topLeftCell="A1">
      <pane xSplit="2" ySplit="6" topLeftCell="G33" activePane="bottomRight" state="frozen"/>
      <selection pane="topLeft" activeCell="A1" sqref="A1"/>
      <selection pane="topRight" activeCell="C1" sqref="C1"/>
      <selection pane="bottomLeft" activeCell="A7" sqref="A7"/>
      <selection pane="bottomRight" activeCell="U48" sqref="U48"/>
    </sheetView>
  </sheetViews>
  <sheetFormatPr defaultColWidth="9.00390625" defaultRowHeight="12.75"/>
  <cols>
    <col min="1" max="1" width="12.375" style="388" customWidth="1"/>
    <col min="2" max="2" width="29.625" style="388" customWidth="1"/>
    <col min="3" max="15" width="10.75390625" style="388" customWidth="1"/>
    <col min="16" max="16384" width="9.125" style="388" customWidth="1"/>
  </cols>
  <sheetData>
    <row r="1" spans="1:15" s="372" customFormat="1" ht="15">
      <c r="A1" s="387" t="str">
        <f>'III.A.I-II'!A1</f>
        <v>Komáromi Távhő Kft</v>
      </c>
      <c r="B1" s="470"/>
      <c r="C1" s="470"/>
      <c r="D1" s="470"/>
      <c r="O1" s="389" t="str">
        <f>'Leltár fedlap'!A25&amp;" "&amp;'Leltár fedlap'!A27</f>
        <v>Pénzügyi leltár 2016. december 31.Hőszolgáltatás </v>
      </c>
    </row>
    <row r="2" spans="1:15" s="372" customFormat="1" ht="15">
      <c r="A2" s="387"/>
      <c r="B2" s="470"/>
      <c r="C2" s="470"/>
      <c r="D2" s="470"/>
      <c r="O2" s="389"/>
    </row>
    <row r="3" spans="1:15" s="628" customFormat="1" ht="16.5">
      <c r="A3" s="840" t="s">
        <v>786</v>
      </c>
      <c r="B3" s="571"/>
      <c r="C3" s="571"/>
      <c r="D3" s="571"/>
      <c r="E3" s="571"/>
      <c r="F3" s="571"/>
      <c r="G3" s="571"/>
      <c r="H3" s="571"/>
      <c r="I3" s="571"/>
      <c r="J3" s="571"/>
      <c r="K3" s="393"/>
      <c r="L3" s="393"/>
      <c r="M3" s="393"/>
      <c r="N3" s="393"/>
      <c r="O3" s="393"/>
    </row>
    <row r="4" ht="13.5" thickBot="1">
      <c r="O4" s="746" t="s">
        <v>1538</v>
      </c>
    </row>
    <row r="5" spans="1:21" s="769" customFormat="1" ht="21" customHeight="1" thickTop="1">
      <c r="A5" s="2469" t="s">
        <v>1038</v>
      </c>
      <c r="B5" s="2471" t="s">
        <v>494</v>
      </c>
      <c r="C5" s="2463" t="s">
        <v>606</v>
      </c>
      <c r="D5" s="2473"/>
      <c r="E5" s="2473"/>
      <c r="F5" s="2473"/>
      <c r="G5" s="2474"/>
      <c r="H5" s="2463" t="s">
        <v>42</v>
      </c>
      <c r="I5" s="2473"/>
      <c r="J5" s="2473"/>
      <c r="K5" s="2473"/>
      <c r="L5" s="2473"/>
      <c r="M5" s="2474"/>
      <c r="N5" s="2463" t="s">
        <v>1047</v>
      </c>
      <c r="O5" s="2464"/>
      <c r="P5" s="2435" t="s">
        <v>790</v>
      </c>
      <c r="Q5" s="2436"/>
      <c r="R5" s="2437" t="s">
        <v>788</v>
      </c>
      <c r="S5" s="2438"/>
      <c r="T5" s="2437" t="s">
        <v>789</v>
      </c>
      <c r="U5" s="2438"/>
    </row>
    <row r="6" spans="1:21" s="769" customFormat="1" ht="27.75" customHeight="1" thickBot="1">
      <c r="A6" s="2470"/>
      <c r="B6" s="2472"/>
      <c r="C6" s="770" t="s">
        <v>603</v>
      </c>
      <c r="D6" s="771" t="s">
        <v>1048</v>
      </c>
      <c r="E6" s="771" t="s">
        <v>1049</v>
      </c>
      <c r="F6" s="771" t="s">
        <v>1045</v>
      </c>
      <c r="G6" s="772" t="s">
        <v>922</v>
      </c>
      <c r="H6" s="770" t="s">
        <v>603</v>
      </c>
      <c r="I6" s="771" t="s">
        <v>1048</v>
      </c>
      <c r="J6" s="771" t="s">
        <v>1049</v>
      </c>
      <c r="K6" s="771" t="s">
        <v>1050</v>
      </c>
      <c r="L6" s="771" t="s">
        <v>1045</v>
      </c>
      <c r="M6" s="772" t="s">
        <v>922</v>
      </c>
      <c r="N6" s="770" t="s">
        <v>603</v>
      </c>
      <c r="O6" s="773" t="s">
        <v>922</v>
      </c>
      <c r="P6" s="1255" t="s">
        <v>603</v>
      </c>
      <c r="Q6" s="1331" t="s">
        <v>922</v>
      </c>
      <c r="R6" s="1336" t="s">
        <v>603</v>
      </c>
      <c r="S6" s="1257" t="s">
        <v>922</v>
      </c>
      <c r="T6" s="1336" t="s">
        <v>603</v>
      </c>
      <c r="U6" s="1257" t="s">
        <v>922</v>
      </c>
    </row>
    <row r="7" spans="1:21" s="778" customFormat="1" ht="21" customHeight="1" hidden="1" thickTop="1">
      <c r="A7" s="774"/>
      <c r="B7" s="775"/>
      <c r="C7" s="776"/>
      <c r="D7" s="777"/>
      <c r="E7" s="777"/>
      <c r="F7" s="777"/>
      <c r="G7" s="831">
        <f aca="true" t="shared" si="0" ref="G7:G41">SUM(C7:F7)</f>
        <v>0</v>
      </c>
      <c r="H7" s="776"/>
      <c r="I7" s="777"/>
      <c r="J7" s="777"/>
      <c r="K7" s="777"/>
      <c r="L7" s="777"/>
      <c r="M7" s="831">
        <f aca="true" t="shared" si="1" ref="M7:M36">SUM(H7:L7)</f>
        <v>0</v>
      </c>
      <c r="N7" s="835">
        <f>C7-H7</f>
        <v>0</v>
      </c>
      <c r="O7" s="834">
        <f>G7-M7</f>
        <v>0</v>
      </c>
      <c r="P7" s="1320"/>
      <c r="Q7" s="1332"/>
      <c r="R7" s="1337"/>
      <c r="S7" s="1321"/>
      <c r="T7" s="1337"/>
      <c r="U7" s="1321"/>
    </row>
    <row r="8" spans="1:21" s="778" customFormat="1" ht="21" customHeight="1" thickTop="1">
      <c r="A8" s="779"/>
      <c r="B8" s="780"/>
      <c r="C8" s="781"/>
      <c r="D8" s="782"/>
      <c r="E8" s="782"/>
      <c r="F8" s="782"/>
      <c r="G8" s="832">
        <f t="shared" si="0"/>
        <v>0</v>
      </c>
      <c r="H8" s="781"/>
      <c r="I8" s="782"/>
      <c r="J8" s="782"/>
      <c r="K8" s="782"/>
      <c r="L8" s="782"/>
      <c r="M8" s="832">
        <f t="shared" si="1"/>
        <v>0</v>
      </c>
      <c r="N8" s="836">
        <f aca="true" t="shared" si="2" ref="N8:N41">C8-H8</f>
        <v>0</v>
      </c>
      <c r="O8" s="832">
        <f aca="true" t="shared" si="3" ref="O8:O41">G8-M8</f>
        <v>0</v>
      </c>
      <c r="P8" s="1322"/>
      <c r="Q8" s="1333"/>
      <c r="R8" s="1338"/>
      <c r="S8" s="1323"/>
      <c r="T8" s="1338"/>
      <c r="U8" s="1323"/>
    </row>
    <row r="9" spans="1:21" s="778" customFormat="1" ht="21" customHeight="1">
      <c r="A9" s="783"/>
      <c r="B9" s="784"/>
      <c r="C9" s="785"/>
      <c r="D9" s="786"/>
      <c r="E9" s="786"/>
      <c r="F9" s="782"/>
      <c r="G9" s="832">
        <f>SUM(C9:F9)</f>
        <v>0</v>
      </c>
      <c r="H9" s="781"/>
      <c r="I9" s="782"/>
      <c r="J9" s="782"/>
      <c r="K9" s="782"/>
      <c r="L9" s="782"/>
      <c r="M9" s="832">
        <f>SUM(H9:L9)</f>
        <v>0</v>
      </c>
      <c r="N9" s="836">
        <f>C9-H9</f>
        <v>0</v>
      </c>
      <c r="O9" s="832">
        <f>G9-M9</f>
        <v>0</v>
      </c>
      <c r="P9" s="1322"/>
      <c r="Q9" s="1333"/>
      <c r="R9" s="1338"/>
      <c r="S9" s="1323"/>
      <c r="T9" s="1338"/>
      <c r="U9" s="1323"/>
    </row>
    <row r="10" spans="1:21" s="778" customFormat="1" ht="21" customHeight="1" thickBot="1">
      <c r="A10" s="783"/>
      <c r="B10" s="784"/>
      <c r="C10" s="785"/>
      <c r="D10" s="786"/>
      <c r="E10" s="786"/>
      <c r="F10" s="786"/>
      <c r="G10" s="833">
        <f t="shared" si="0"/>
        <v>0</v>
      </c>
      <c r="H10" s="785"/>
      <c r="I10" s="786"/>
      <c r="J10" s="786"/>
      <c r="K10" s="786"/>
      <c r="L10" s="786"/>
      <c r="M10" s="833">
        <f t="shared" si="1"/>
        <v>0</v>
      </c>
      <c r="N10" s="837">
        <f t="shared" si="2"/>
        <v>0</v>
      </c>
      <c r="O10" s="833">
        <f t="shared" si="3"/>
        <v>0</v>
      </c>
      <c r="P10" s="1324"/>
      <c r="Q10" s="1334"/>
      <c r="R10" s="1339"/>
      <c r="S10" s="1325"/>
      <c r="T10" s="1339"/>
      <c r="U10" s="1325"/>
    </row>
    <row r="11" spans="1:21" s="778" customFormat="1" ht="21" customHeight="1" thickBot="1" thickTop="1">
      <c r="A11" s="2467" t="s">
        <v>209</v>
      </c>
      <c r="B11" s="2468"/>
      <c r="C11" s="828">
        <f>SUM(C7:C10)</f>
        <v>0</v>
      </c>
      <c r="D11" s="829">
        <f>SUM(D7:D10)</f>
        <v>0</v>
      </c>
      <c r="E11" s="829">
        <f>SUM(E7:E10)</f>
        <v>0</v>
      </c>
      <c r="F11" s="829">
        <f>SUM(F7:F10)</f>
        <v>0</v>
      </c>
      <c r="G11" s="830">
        <f t="shared" si="0"/>
        <v>0</v>
      </c>
      <c r="H11" s="828">
        <f>SUM(H7:H10)</f>
        <v>0</v>
      </c>
      <c r="I11" s="829">
        <f>SUM(I7:I10)</f>
        <v>0</v>
      </c>
      <c r="J11" s="829">
        <f>SUM(J7:J10)</f>
        <v>0</v>
      </c>
      <c r="K11" s="829">
        <f>SUM(K7:K10)</f>
        <v>0</v>
      </c>
      <c r="L11" s="829">
        <f>SUM(L7:L10)</f>
        <v>0</v>
      </c>
      <c r="M11" s="830">
        <f>SUM(H11:L11)</f>
        <v>0</v>
      </c>
      <c r="N11" s="838">
        <f t="shared" si="2"/>
        <v>0</v>
      </c>
      <c r="O11" s="830">
        <f t="shared" si="3"/>
        <v>0</v>
      </c>
      <c r="P11" s="1326">
        <f>ROUND(N11/1000,0)</f>
        <v>0</v>
      </c>
      <c r="Q11" s="1335">
        <f>ROUND(O11/1000,0)</f>
        <v>0</v>
      </c>
      <c r="R11" s="1340"/>
      <c r="S11" s="1341"/>
      <c r="T11" s="1330">
        <f>P11+R11</f>
        <v>0</v>
      </c>
      <c r="U11" s="1327">
        <f>Q11+S11</f>
        <v>0</v>
      </c>
    </row>
    <row r="12" spans="1:21" s="778" customFormat="1" ht="21" customHeight="1" hidden="1" thickTop="1">
      <c r="A12" s="787"/>
      <c r="B12" s="788"/>
      <c r="C12" s="789"/>
      <c r="D12" s="790"/>
      <c r="E12" s="790"/>
      <c r="F12" s="790"/>
      <c r="G12" s="834">
        <f t="shared" si="0"/>
        <v>0</v>
      </c>
      <c r="H12" s="789"/>
      <c r="I12" s="790"/>
      <c r="J12" s="790"/>
      <c r="K12" s="790"/>
      <c r="L12" s="790"/>
      <c r="M12" s="834">
        <f t="shared" si="1"/>
        <v>0</v>
      </c>
      <c r="N12" s="835">
        <f t="shared" si="2"/>
        <v>0</v>
      </c>
      <c r="O12" s="834">
        <f t="shared" si="3"/>
        <v>0</v>
      </c>
      <c r="P12" s="1320"/>
      <c r="Q12" s="1332"/>
      <c r="R12" s="1337"/>
      <c r="S12" s="1321"/>
      <c r="T12" s="1337"/>
      <c r="U12" s="1321"/>
    </row>
    <row r="13" spans="1:21" s="778" customFormat="1" ht="21" customHeight="1" thickTop="1">
      <c r="A13" s="779"/>
      <c r="B13" s="780"/>
      <c r="C13" s="781"/>
      <c r="D13" s="782"/>
      <c r="E13" s="782"/>
      <c r="F13" s="782"/>
      <c r="G13" s="832">
        <f t="shared" si="0"/>
        <v>0</v>
      </c>
      <c r="H13" s="781"/>
      <c r="I13" s="782"/>
      <c r="J13" s="782"/>
      <c r="K13" s="782"/>
      <c r="L13" s="782"/>
      <c r="M13" s="832">
        <f t="shared" si="1"/>
        <v>0</v>
      </c>
      <c r="N13" s="836">
        <f t="shared" si="2"/>
        <v>0</v>
      </c>
      <c r="O13" s="832">
        <f t="shared" si="3"/>
        <v>0</v>
      </c>
      <c r="P13" s="1322"/>
      <c r="Q13" s="1333"/>
      <c r="R13" s="1338"/>
      <c r="S13" s="1323"/>
      <c r="T13" s="1338"/>
      <c r="U13" s="1323"/>
    </row>
    <row r="14" spans="1:21" s="778" customFormat="1" ht="21" customHeight="1">
      <c r="A14" s="783"/>
      <c r="B14" s="784"/>
      <c r="C14" s="785"/>
      <c r="D14" s="786"/>
      <c r="E14" s="786"/>
      <c r="F14" s="782"/>
      <c r="G14" s="832">
        <f>SUM(C14:F14)</f>
        <v>0</v>
      </c>
      <c r="H14" s="781"/>
      <c r="I14" s="782"/>
      <c r="J14" s="782"/>
      <c r="K14" s="782"/>
      <c r="L14" s="782"/>
      <c r="M14" s="832">
        <f>SUM(H14:L14)</f>
        <v>0</v>
      </c>
      <c r="N14" s="836">
        <f>C14-H14</f>
        <v>0</v>
      </c>
      <c r="O14" s="832">
        <f>G14-M14</f>
        <v>0</v>
      </c>
      <c r="P14" s="1322"/>
      <c r="Q14" s="1333"/>
      <c r="R14" s="1338"/>
      <c r="S14" s="1323"/>
      <c r="T14" s="1338"/>
      <c r="U14" s="1323"/>
    </row>
    <row r="15" spans="1:21" s="778" customFormat="1" ht="21" customHeight="1" thickBot="1">
      <c r="A15" s="783"/>
      <c r="B15" s="784"/>
      <c r="C15" s="785"/>
      <c r="D15" s="786"/>
      <c r="E15" s="786"/>
      <c r="F15" s="786"/>
      <c r="G15" s="833">
        <f t="shared" si="0"/>
        <v>0</v>
      </c>
      <c r="H15" s="785"/>
      <c r="I15" s="786"/>
      <c r="J15" s="786"/>
      <c r="K15" s="786"/>
      <c r="L15" s="786"/>
      <c r="M15" s="833">
        <f t="shared" si="1"/>
        <v>0</v>
      </c>
      <c r="N15" s="837">
        <f t="shared" si="2"/>
        <v>0</v>
      </c>
      <c r="O15" s="833">
        <f t="shared" si="3"/>
        <v>0</v>
      </c>
      <c r="P15" s="1324"/>
      <c r="Q15" s="1334"/>
      <c r="R15" s="1339"/>
      <c r="S15" s="1325"/>
      <c r="T15" s="1339"/>
      <c r="U15" s="1325"/>
    </row>
    <row r="16" spans="1:21" s="778" customFormat="1" ht="21" customHeight="1" thickBot="1" thickTop="1">
      <c r="A16" s="2465" t="s">
        <v>404</v>
      </c>
      <c r="B16" s="2466"/>
      <c r="C16" s="828">
        <f>SUM(C12:C15)</f>
        <v>0</v>
      </c>
      <c r="D16" s="829">
        <f>SUM(D12:D15)</f>
        <v>0</v>
      </c>
      <c r="E16" s="829">
        <f>SUM(E12:E15)</f>
        <v>0</v>
      </c>
      <c r="F16" s="829">
        <f>SUM(F12:F15)</f>
        <v>0</v>
      </c>
      <c r="G16" s="830">
        <f t="shared" si="0"/>
        <v>0</v>
      </c>
      <c r="H16" s="828">
        <f>SUM(H12:H15)</f>
        <v>0</v>
      </c>
      <c r="I16" s="829">
        <f>SUM(I12:I15)</f>
        <v>0</v>
      </c>
      <c r="J16" s="829">
        <f>SUM(J12:J15)</f>
        <v>0</v>
      </c>
      <c r="K16" s="829">
        <f>SUM(K12:K15)</f>
        <v>0</v>
      </c>
      <c r="L16" s="829">
        <f>SUM(L12:L15)</f>
        <v>0</v>
      </c>
      <c r="M16" s="830">
        <f t="shared" si="1"/>
        <v>0</v>
      </c>
      <c r="N16" s="838">
        <f t="shared" si="2"/>
        <v>0</v>
      </c>
      <c r="O16" s="830">
        <f t="shared" si="3"/>
        <v>0</v>
      </c>
      <c r="P16" s="1326">
        <f>ROUND(N16/1000,0)</f>
        <v>0</v>
      </c>
      <c r="Q16" s="1335">
        <f>ROUND(O16/1000,0)</f>
        <v>0</v>
      </c>
      <c r="R16" s="1340"/>
      <c r="S16" s="1341"/>
      <c r="T16" s="1330">
        <f>P16+R16</f>
        <v>0</v>
      </c>
      <c r="U16" s="1327">
        <f>Q16+S16</f>
        <v>0</v>
      </c>
    </row>
    <row r="17" spans="1:21" s="778" customFormat="1" ht="21" customHeight="1" hidden="1" thickTop="1">
      <c r="A17" s="791"/>
      <c r="B17" s="792"/>
      <c r="C17" s="789"/>
      <c r="D17" s="790"/>
      <c r="E17" s="790"/>
      <c r="F17" s="790"/>
      <c r="G17" s="834">
        <f t="shared" si="0"/>
        <v>0</v>
      </c>
      <c r="H17" s="793"/>
      <c r="I17" s="794"/>
      <c r="J17" s="794"/>
      <c r="K17" s="794"/>
      <c r="L17" s="794"/>
      <c r="M17" s="834">
        <f t="shared" si="1"/>
        <v>0</v>
      </c>
      <c r="N17" s="835">
        <f t="shared" si="2"/>
        <v>0</v>
      </c>
      <c r="O17" s="834">
        <f t="shared" si="3"/>
        <v>0</v>
      </c>
      <c r="P17" s="1320"/>
      <c r="Q17" s="1332"/>
      <c r="R17" s="1337"/>
      <c r="S17" s="1321"/>
      <c r="T17" s="1337"/>
      <c r="U17" s="1321"/>
    </row>
    <row r="18" spans="1:21" s="778" customFormat="1" ht="21" customHeight="1" thickTop="1">
      <c r="A18" s="791"/>
      <c r="B18" s="792"/>
      <c r="C18" s="789"/>
      <c r="D18" s="790"/>
      <c r="E18" s="790"/>
      <c r="F18" s="790"/>
      <c r="G18" s="834">
        <f t="shared" si="0"/>
        <v>0</v>
      </c>
      <c r="H18" s="793"/>
      <c r="I18" s="794"/>
      <c r="J18" s="794"/>
      <c r="K18" s="794"/>
      <c r="L18" s="794"/>
      <c r="M18" s="834">
        <f t="shared" si="1"/>
        <v>0</v>
      </c>
      <c r="N18" s="835">
        <f t="shared" si="2"/>
        <v>0</v>
      </c>
      <c r="O18" s="834">
        <f t="shared" si="3"/>
        <v>0</v>
      </c>
      <c r="P18" s="1322"/>
      <c r="Q18" s="1333"/>
      <c r="R18" s="1338"/>
      <c r="S18" s="1323"/>
      <c r="T18" s="1338"/>
      <c r="U18" s="1323"/>
    </row>
    <row r="19" spans="1:21" s="778" customFormat="1" ht="21" customHeight="1">
      <c r="A19" s="1384"/>
      <c r="B19" s="1391"/>
      <c r="C19" s="1389"/>
      <c r="D19" s="1390"/>
      <c r="E19" s="1390"/>
      <c r="F19" s="790"/>
      <c r="G19" s="834">
        <f>SUM(C19:F19)</f>
        <v>0</v>
      </c>
      <c r="H19" s="793"/>
      <c r="I19" s="794"/>
      <c r="J19" s="794"/>
      <c r="K19" s="794"/>
      <c r="L19" s="794"/>
      <c r="M19" s="834">
        <f>SUM(H19:L19)</f>
        <v>0</v>
      </c>
      <c r="N19" s="835">
        <f>C19-H19</f>
        <v>0</v>
      </c>
      <c r="O19" s="834">
        <f>G19-M19</f>
        <v>0</v>
      </c>
      <c r="P19" s="1322"/>
      <c r="Q19" s="1333"/>
      <c r="R19" s="1338"/>
      <c r="S19" s="1323"/>
      <c r="T19" s="1338"/>
      <c r="U19" s="1323"/>
    </row>
    <row r="20" spans="1:21" s="778" customFormat="1" ht="21" customHeight="1" thickBot="1">
      <c r="A20" s="795"/>
      <c r="B20" s="796"/>
      <c r="C20" s="785"/>
      <c r="D20" s="786"/>
      <c r="E20" s="786"/>
      <c r="F20" s="786"/>
      <c r="G20" s="833">
        <f t="shared" si="0"/>
        <v>0</v>
      </c>
      <c r="H20" s="797"/>
      <c r="I20" s="798"/>
      <c r="J20" s="798"/>
      <c r="K20" s="798"/>
      <c r="L20" s="798"/>
      <c r="M20" s="833">
        <f t="shared" si="1"/>
        <v>0</v>
      </c>
      <c r="N20" s="837">
        <f t="shared" si="2"/>
        <v>0</v>
      </c>
      <c r="O20" s="833">
        <f t="shared" si="3"/>
        <v>0</v>
      </c>
      <c r="P20" s="1324"/>
      <c r="Q20" s="1334"/>
      <c r="R20" s="1339"/>
      <c r="S20" s="1325"/>
      <c r="T20" s="1339"/>
      <c r="U20" s="1325"/>
    </row>
    <row r="21" spans="1:21" s="778" customFormat="1" ht="21" customHeight="1" thickBot="1" thickTop="1">
      <c r="A21" s="2465" t="s">
        <v>210</v>
      </c>
      <c r="B21" s="2466"/>
      <c r="C21" s="828">
        <f>SUM(C17:C20)</f>
        <v>0</v>
      </c>
      <c r="D21" s="829">
        <f>SUM(D17:D20)</f>
        <v>0</v>
      </c>
      <c r="E21" s="829">
        <f>SUM(E17:E20)</f>
        <v>0</v>
      </c>
      <c r="F21" s="829">
        <f>SUM(F17:F20)</f>
        <v>0</v>
      </c>
      <c r="G21" s="830">
        <f t="shared" si="0"/>
        <v>0</v>
      </c>
      <c r="H21" s="828">
        <f>SUM(H17:H20)</f>
        <v>0</v>
      </c>
      <c r="I21" s="829">
        <f>SUM(I17:I20)</f>
        <v>0</v>
      </c>
      <c r="J21" s="829">
        <f>SUM(J17:J20)</f>
        <v>0</v>
      </c>
      <c r="K21" s="829">
        <f>SUM(K17:K20)</f>
        <v>0</v>
      </c>
      <c r="L21" s="829">
        <f>SUM(L17:L20)</f>
        <v>0</v>
      </c>
      <c r="M21" s="830">
        <f t="shared" si="1"/>
        <v>0</v>
      </c>
      <c r="N21" s="838">
        <f t="shared" si="2"/>
        <v>0</v>
      </c>
      <c r="O21" s="830">
        <f t="shared" si="3"/>
        <v>0</v>
      </c>
      <c r="P21" s="1326">
        <f>ROUND(N21/1000,0)</f>
        <v>0</v>
      </c>
      <c r="Q21" s="1335">
        <f>ROUND(O21/1000,0)</f>
        <v>0</v>
      </c>
      <c r="R21" s="1340"/>
      <c r="S21" s="1341"/>
      <c r="T21" s="1330">
        <f>P21+R21</f>
        <v>0</v>
      </c>
      <c r="U21" s="1327">
        <f>Q21+S21</f>
        <v>0</v>
      </c>
    </row>
    <row r="22" spans="1:21" s="778" customFormat="1" ht="21" customHeight="1" hidden="1" thickTop="1">
      <c r="A22" s="791"/>
      <c r="B22" s="792"/>
      <c r="C22" s="789"/>
      <c r="D22" s="790"/>
      <c r="E22" s="790"/>
      <c r="F22" s="790"/>
      <c r="G22" s="834">
        <f t="shared" si="0"/>
        <v>0</v>
      </c>
      <c r="H22" s="793"/>
      <c r="I22" s="794"/>
      <c r="J22" s="794"/>
      <c r="K22" s="794"/>
      <c r="L22" s="794"/>
      <c r="M22" s="834">
        <f t="shared" si="1"/>
        <v>0</v>
      </c>
      <c r="N22" s="835">
        <f t="shared" si="2"/>
        <v>0</v>
      </c>
      <c r="O22" s="834">
        <f t="shared" si="3"/>
        <v>0</v>
      </c>
      <c r="P22" s="1320"/>
      <c r="Q22" s="1332"/>
      <c r="R22" s="1337"/>
      <c r="S22" s="1321"/>
      <c r="T22" s="1337"/>
      <c r="U22" s="1321"/>
    </row>
    <row r="23" spans="1:21" s="778" customFormat="1" ht="21" customHeight="1" thickTop="1">
      <c r="A23" s="799"/>
      <c r="B23" s="800"/>
      <c r="C23" s="781"/>
      <c r="D23" s="782"/>
      <c r="E23" s="782"/>
      <c r="F23" s="782"/>
      <c r="G23" s="832">
        <f t="shared" si="0"/>
        <v>0</v>
      </c>
      <c r="H23" s="801"/>
      <c r="I23" s="802"/>
      <c r="J23" s="802"/>
      <c r="K23" s="802"/>
      <c r="L23" s="802"/>
      <c r="M23" s="832">
        <f t="shared" si="1"/>
        <v>0</v>
      </c>
      <c r="N23" s="836">
        <f t="shared" si="2"/>
        <v>0</v>
      </c>
      <c r="O23" s="832">
        <f t="shared" si="3"/>
        <v>0</v>
      </c>
      <c r="P23" s="1322"/>
      <c r="Q23" s="1333"/>
      <c r="R23" s="1338"/>
      <c r="S23" s="1323"/>
      <c r="T23" s="1338"/>
      <c r="U23" s="1323"/>
    </row>
    <row r="24" spans="1:21" s="778" customFormat="1" ht="21" customHeight="1">
      <c r="A24" s="795"/>
      <c r="B24" s="796"/>
      <c r="C24" s="785"/>
      <c r="D24" s="786"/>
      <c r="E24" s="786"/>
      <c r="F24" s="782"/>
      <c r="G24" s="832">
        <f>SUM(C24:F24)</f>
        <v>0</v>
      </c>
      <c r="H24" s="801"/>
      <c r="I24" s="802"/>
      <c r="J24" s="802"/>
      <c r="K24" s="802"/>
      <c r="L24" s="802"/>
      <c r="M24" s="832">
        <f>SUM(H24:L24)</f>
        <v>0</v>
      </c>
      <c r="N24" s="836">
        <f>C24-H24</f>
        <v>0</v>
      </c>
      <c r="O24" s="832">
        <f>G24-M24</f>
        <v>0</v>
      </c>
      <c r="P24" s="1322"/>
      <c r="Q24" s="1333"/>
      <c r="R24" s="1338"/>
      <c r="S24" s="1323"/>
      <c r="T24" s="1338"/>
      <c r="U24" s="1323"/>
    </row>
    <row r="25" spans="1:21" s="778" customFormat="1" ht="21" customHeight="1" thickBot="1">
      <c r="A25" s="795"/>
      <c r="B25" s="796"/>
      <c r="C25" s="785"/>
      <c r="D25" s="786"/>
      <c r="E25" s="786"/>
      <c r="F25" s="786"/>
      <c r="G25" s="833">
        <f t="shared" si="0"/>
        <v>0</v>
      </c>
      <c r="H25" s="797"/>
      <c r="I25" s="798"/>
      <c r="J25" s="798"/>
      <c r="K25" s="798"/>
      <c r="L25" s="798"/>
      <c r="M25" s="833">
        <f t="shared" si="1"/>
        <v>0</v>
      </c>
      <c r="N25" s="837">
        <f t="shared" si="2"/>
        <v>0</v>
      </c>
      <c r="O25" s="833">
        <f t="shared" si="3"/>
        <v>0</v>
      </c>
      <c r="P25" s="1324"/>
      <c r="Q25" s="1334"/>
      <c r="R25" s="1339"/>
      <c r="S25" s="1325"/>
      <c r="T25" s="1339"/>
      <c r="U25" s="1325"/>
    </row>
    <row r="26" spans="1:21" s="778" customFormat="1" ht="31.5" customHeight="1" thickBot="1" thickTop="1">
      <c r="A26" s="2465" t="s">
        <v>1051</v>
      </c>
      <c r="B26" s="2466"/>
      <c r="C26" s="828">
        <f>SUM(C22:C25)</f>
        <v>0</v>
      </c>
      <c r="D26" s="829">
        <f>SUM(D22:D25)</f>
        <v>0</v>
      </c>
      <c r="E26" s="829">
        <f>SUM(E22:E25)</f>
        <v>0</v>
      </c>
      <c r="F26" s="829">
        <f>SUM(F22:F25)</f>
        <v>0</v>
      </c>
      <c r="G26" s="830">
        <f t="shared" si="0"/>
        <v>0</v>
      </c>
      <c r="H26" s="828">
        <f>SUM(H22:H25)</f>
        <v>0</v>
      </c>
      <c r="I26" s="829">
        <f>SUM(I22:I25)</f>
        <v>0</v>
      </c>
      <c r="J26" s="829">
        <f>SUM(J22:J25)</f>
        <v>0</v>
      </c>
      <c r="K26" s="829">
        <f>SUM(K22:K25)</f>
        <v>0</v>
      </c>
      <c r="L26" s="829">
        <f>SUM(L22:L25)</f>
        <v>0</v>
      </c>
      <c r="M26" s="830">
        <f t="shared" si="1"/>
        <v>0</v>
      </c>
      <c r="N26" s="838">
        <f t="shared" si="2"/>
        <v>0</v>
      </c>
      <c r="O26" s="830">
        <f t="shared" si="3"/>
        <v>0</v>
      </c>
      <c r="P26" s="1326">
        <f>ROUND(N26/1000,0)</f>
        <v>0</v>
      </c>
      <c r="Q26" s="1335">
        <f>ROUND(O26/1000,0)</f>
        <v>0</v>
      </c>
      <c r="R26" s="1340"/>
      <c r="S26" s="1341"/>
      <c r="T26" s="1330">
        <f>P26+R26</f>
        <v>0</v>
      </c>
      <c r="U26" s="1327">
        <f>Q26+S26</f>
        <v>0</v>
      </c>
    </row>
    <row r="27" spans="1:21" s="778" customFormat="1" ht="21" customHeight="1" hidden="1" thickTop="1">
      <c r="A27" s="791"/>
      <c r="B27" s="792"/>
      <c r="C27" s="789"/>
      <c r="D27" s="790"/>
      <c r="E27" s="790"/>
      <c r="F27" s="790"/>
      <c r="G27" s="834">
        <f t="shared" si="0"/>
        <v>0</v>
      </c>
      <c r="H27" s="793"/>
      <c r="I27" s="794"/>
      <c r="J27" s="794"/>
      <c r="K27" s="794"/>
      <c r="L27" s="794"/>
      <c r="M27" s="834">
        <f t="shared" si="1"/>
        <v>0</v>
      </c>
      <c r="N27" s="835">
        <f t="shared" si="2"/>
        <v>0</v>
      </c>
      <c r="O27" s="834">
        <f t="shared" si="3"/>
        <v>0</v>
      </c>
      <c r="P27" s="1320"/>
      <c r="Q27" s="1332"/>
      <c r="R27" s="1337"/>
      <c r="S27" s="1321"/>
      <c r="T27" s="1337"/>
      <c r="U27" s="1321"/>
    </row>
    <row r="28" spans="1:21" s="778" customFormat="1" ht="21" customHeight="1" thickTop="1">
      <c r="A28" s="799"/>
      <c r="B28" s="800"/>
      <c r="C28" s="781"/>
      <c r="D28" s="782"/>
      <c r="E28" s="782"/>
      <c r="F28" s="782"/>
      <c r="G28" s="832">
        <f t="shared" si="0"/>
        <v>0</v>
      </c>
      <c r="H28" s="801"/>
      <c r="I28" s="802"/>
      <c r="J28" s="802"/>
      <c r="K28" s="802"/>
      <c r="L28" s="802"/>
      <c r="M28" s="832">
        <f t="shared" si="1"/>
        <v>0</v>
      </c>
      <c r="N28" s="836">
        <f t="shared" si="2"/>
        <v>0</v>
      </c>
      <c r="O28" s="832">
        <f t="shared" si="3"/>
        <v>0</v>
      </c>
      <c r="P28" s="1322"/>
      <c r="Q28" s="1333"/>
      <c r="R28" s="1338"/>
      <c r="S28" s="1323"/>
      <c r="T28" s="1338"/>
      <c r="U28" s="1323"/>
    </row>
    <row r="29" spans="1:21" s="778" customFormat="1" ht="21" customHeight="1">
      <c r="A29" s="795"/>
      <c r="B29" s="796"/>
      <c r="C29" s="785"/>
      <c r="D29" s="786"/>
      <c r="E29" s="786"/>
      <c r="F29" s="782"/>
      <c r="G29" s="832">
        <f>SUM(C29:F29)</f>
        <v>0</v>
      </c>
      <c r="H29" s="801"/>
      <c r="I29" s="802"/>
      <c r="J29" s="802"/>
      <c r="K29" s="802"/>
      <c r="L29" s="802"/>
      <c r="M29" s="832">
        <f>SUM(H29:L29)</f>
        <v>0</v>
      </c>
      <c r="N29" s="836">
        <f>C29-H29</f>
        <v>0</v>
      </c>
      <c r="O29" s="832">
        <f>G29-M29</f>
        <v>0</v>
      </c>
      <c r="P29" s="1322"/>
      <c r="Q29" s="1333"/>
      <c r="R29" s="1338"/>
      <c r="S29" s="1323"/>
      <c r="T29" s="1338"/>
      <c r="U29" s="1323"/>
    </row>
    <row r="30" spans="1:21" s="778" customFormat="1" ht="21" customHeight="1" thickBot="1">
      <c r="A30" s="795"/>
      <c r="B30" s="796"/>
      <c r="C30" s="785"/>
      <c r="D30" s="786"/>
      <c r="E30" s="786"/>
      <c r="F30" s="786"/>
      <c r="G30" s="833">
        <f t="shared" si="0"/>
        <v>0</v>
      </c>
      <c r="H30" s="797"/>
      <c r="I30" s="798"/>
      <c r="J30" s="798"/>
      <c r="K30" s="798"/>
      <c r="L30" s="798"/>
      <c r="M30" s="833">
        <f t="shared" si="1"/>
        <v>0</v>
      </c>
      <c r="N30" s="837">
        <f t="shared" si="2"/>
        <v>0</v>
      </c>
      <c r="O30" s="833">
        <f t="shared" si="3"/>
        <v>0</v>
      </c>
      <c r="P30" s="1324"/>
      <c r="Q30" s="1334"/>
      <c r="R30" s="1339"/>
      <c r="S30" s="1325"/>
      <c r="T30" s="1339"/>
      <c r="U30" s="1325"/>
    </row>
    <row r="31" spans="1:21" s="778" customFormat="1" ht="21" customHeight="1" thickBot="1" thickTop="1">
      <c r="A31" s="2465" t="s">
        <v>1052</v>
      </c>
      <c r="B31" s="2466"/>
      <c r="C31" s="828">
        <f>SUM(C27:C30)</f>
        <v>0</v>
      </c>
      <c r="D31" s="829">
        <f>SUM(D27:D30)</f>
        <v>0</v>
      </c>
      <c r="E31" s="829">
        <f>SUM(E27:E30)</f>
        <v>0</v>
      </c>
      <c r="F31" s="829">
        <f>SUM(F27:F30)</f>
        <v>0</v>
      </c>
      <c r="G31" s="830">
        <f t="shared" si="0"/>
        <v>0</v>
      </c>
      <c r="H31" s="828">
        <f>SUM(H27:H30)</f>
        <v>0</v>
      </c>
      <c r="I31" s="829">
        <f>SUM(I27:I30)</f>
        <v>0</v>
      </c>
      <c r="J31" s="829">
        <f>SUM(J27:J30)</f>
        <v>0</v>
      </c>
      <c r="K31" s="829">
        <f>SUM(K27:K30)</f>
        <v>0</v>
      </c>
      <c r="L31" s="829">
        <f>SUM(L27:L30)</f>
        <v>0</v>
      </c>
      <c r="M31" s="830">
        <f t="shared" si="1"/>
        <v>0</v>
      </c>
      <c r="N31" s="838">
        <f t="shared" si="2"/>
        <v>0</v>
      </c>
      <c r="O31" s="830">
        <f t="shared" si="3"/>
        <v>0</v>
      </c>
      <c r="P31" s="1326">
        <f>ROUND(N31/1000,0)</f>
        <v>0</v>
      </c>
      <c r="Q31" s="1335">
        <f>ROUND(O31/1000,0)</f>
        <v>0</v>
      </c>
      <c r="R31" s="1340"/>
      <c r="S31" s="1341"/>
      <c r="T31" s="1330">
        <f>P31+R31</f>
        <v>0</v>
      </c>
      <c r="U31" s="1327">
        <f>Q31+S31</f>
        <v>0</v>
      </c>
    </row>
    <row r="32" spans="1:21" s="778" customFormat="1" ht="21" customHeight="1" hidden="1" thickTop="1">
      <c r="A32" s="803"/>
      <c r="B32" s="804"/>
      <c r="C32" s="789"/>
      <c r="D32" s="790"/>
      <c r="E32" s="790"/>
      <c r="F32" s="790"/>
      <c r="G32" s="834">
        <f t="shared" si="0"/>
        <v>0</v>
      </c>
      <c r="H32" s="793"/>
      <c r="I32" s="794"/>
      <c r="J32" s="794"/>
      <c r="K32" s="794"/>
      <c r="L32" s="794"/>
      <c r="M32" s="834">
        <f t="shared" si="1"/>
        <v>0</v>
      </c>
      <c r="N32" s="835">
        <f t="shared" si="2"/>
        <v>0</v>
      </c>
      <c r="O32" s="834">
        <f t="shared" si="3"/>
        <v>0</v>
      </c>
      <c r="P32" s="1320"/>
      <c r="Q32" s="1332"/>
      <c r="R32" s="1337"/>
      <c r="S32" s="1321"/>
      <c r="T32" s="1337"/>
      <c r="U32" s="1321"/>
    </row>
    <row r="33" spans="1:21" s="778" customFormat="1" ht="21" customHeight="1" thickTop="1">
      <c r="A33" s="805"/>
      <c r="B33" s="804"/>
      <c r="C33" s="789"/>
      <c r="D33" s="790"/>
      <c r="E33" s="790"/>
      <c r="F33" s="790"/>
      <c r="G33" s="832">
        <f t="shared" si="0"/>
        <v>0</v>
      </c>
      <c r="H33" s="793"/>
      <c r="I33" s="794"/>
      <c r="J33" s="794"/>
      <c r="K33" s="794"/>
      <c r="L33" s="794"/>
      <c r="M33" s="832">
        <f t="shared" si="1"/>
        <v>0</v>
      </c>
      <c r="N33" s="835">
        <f t="shared" si="2"/>
        <v>0</v>
      </c>
      <c r="O33" s="834">
        <f t="shared" si="3"/>
        <v>0</v>
      </c>
      <c r="P33" s="1322"/>
      <c r="Q33" s="1333"/>
      <c r="R33" s="1338"/>
      <c r="S33" s="1323"/>
      <c r="T33" s="1338"/>
      <c r="U33" s="1323"/>
    </row>
    <row r="34" spans="1:21" s="778" customFormat="1" ht="21" customHeight="1">
      <c r="A34" s="806"/>
      <c r="B34" s="1388"/>
      <c r="C34" s="1389"/>
      <c r="D34" s="1390"/>
      <c r="E34" s="1390"/>
      <c r="F34" s="1390"/>
      <c r="G34" s="832">
        <f>SUM(C34:F34)</f>
        <v>0</v>
      </c>
      <c r="H34" s="793"/>
      <c r="I34" s="794"/>
      <c r="J34" s="794"/>
      <c r="K34" s="794"/>
      <c r="L34" s="794"/>
      <c r="M34" s="832">
        <f>SUM(H34:L34)</f>
        <v>0</v>
      </c>
      <c r="N34" s="835">
        <f>C34-H34</f>
        <v>0</v>
      </c>
      <c r="O34" s="834">
        <f>G34-M34</f>
        <v>0</v>
      </c>
      <c r="P34" s="1322"/>
      <c r="Q34" s="1333"/>
      <c r="R34" s="1338"/>
      <c r="S34" s="1323"/>
      <c r="T34" s="1338"/>
      <c r="U34" s="1323"/>
    </row>
    <row r="35" spans="1:21" s="778" customFormat="1" ht="21" customHeight="1" thickBot="1">
      <c r="A35" s="806"/>
      <c r="B35" s="807"/>
      <c r="C35" s="785"/>
      <c r="D35" s="786"/>
      <c r="E35" s="786"/>
      <c r="F35" s="786"/>
      <c r="G35" s="833">
        <f t="shared" si="0"/>
        <v>0</v>
      </c>
      <c r="H35" s="797"/>
      <c r="I35" s="798"/>
      <c r="J35" s="798"/>
      <c r="K35" s="798"/>
      <c r="L35" s="798"/>
      <c r="M35" s="833">
        <f t="shared" si="1"/>
        <v>0</v>
      </c>
      <c r="N35" s="837">
        <f t="shared" si="2"/>
        <v>0</v>
      </c>
      <c r="O35" s="833">
        <f t="shared" si="3"/>
        <v>0</v>
      </c>
      <c r="P35" s="1324"/>
      <c r="Q35" s="1334"/>
      <c r="R35" s="1339"/>
      <c r="S35" s="1325"/>
      <c r="T35" s="1339"/>
      <c r="U35" s="1325"/>
    </row>
    <row r="36" spans="1:21" s="778" customFormat="1" ht="21" customHeight="1" thickBot="1" thickTop="1">
      <c r="A36" s="2465" t="s">
        <v>212</v>
      </c>
      <c r="B36" s="2466"/>
      <c r="C36" s="828">
        <f>SUM(C32:C35)</f>
        <v>0</v>
      </c>
      <c r="D36" s="829">
        <f>SUM(D32:D35)</f>
        <v>0</v>
      </c>
      <c r="E36" s="829">
        <f>SUM(E32:E35)</f>
        <v>0</v>
      </c>
      <c r="F36" s="829">
        <f>SUM(F32:F35)</f>
        <v>0</v>
      </c>
      <c r="G36" s="830">
        <f t="shared" si="0"/>
        <v>0</v>
      </c>
      <c r="H36" s="828">
        <f>SUM(H32:H35)</f>
        <v>0</v>
      </c>
      <c r="I36" s="829">
        <f>SUM(I32:I35)</f>
        <v>0</v>
      </c>
      <c r="J36" s="829">
        <f>SUM(J32:J35)</f>
        <v>0</v>
      </c>
      <c r="K36" s="829">
        <f>SUM(K32:K35)</f>
        <v>0</v>
      </c>
      <c r="L36" s="829">
        <f>SUM(L32:L35)</f>
        <v>0</v>
      </c>
      <c r="M36" s="830">
        <f t="shared" si="1"/>
        <v>0</v>
      </c>
      <c r="N36" s="838">
        <f t="shared" si="2"/>
        <v>0</v>
      </c>
      <c r="O36" s="830">
        <f t="shared" si="3"/>
        <v>0</v>
      </c>
      <c r="P36" s="1326">
        <f>ROUND(N36/1000,0)</f>
        <v>0</v>
      </c>
      <c r="Q36" s="1335">
        <f>ROUND(O36/1000,0)</f>
        <v>0</v>
      </c>
      <c r="R36" s="1340"/>
      <c r="S36" s="1341"/>
      <c r="T36" s="1330">
        <f>P36+R36</f>
        <v>0</v>
      </c>
      <c r="U36" s="1327">
        <f>Q36+S36</f>
        <v>0</v>
      </c>
    </row>
    <row r="37" spans="1:21" s="778" customFormat="1" ht="21" customHeight="1" hidden="1" thickTop="1">
      <c r="A37" s="808"/>
      <c r="B37" s="809"/>
      <c r="C37" s="810"/>
      <c r="D37" s="790"/>
      <c r="E37" s="790"/>
      <c r="F37" s="790"/>
      <c r="G37" s="834">
        <f t="shared" si="0"/>
        <v>0</v>
      </c>
      <c r="H37" s="811"/>
      <c r="I37" s="812"/>
      <c r="J37" s="812"/>
      <c r="K37" s="812"/>
      <c r="L37" s="812"/>
      <c r="M37" s="813"/>
      <c r="N37" s="835">
        <f t="shared" si="2"/>
        <v>0</v>
      </c>
      <c r="O37" s="834">
        <f t="shared" si="3"/>
        <v>0</v>
      </c>
      <c r="P37" s="1320"/>
      <c r="Q37" s="1332"/>
      <c r="R37" s="1337"/>
      <c r="S37" s="1321"/>
      <c r="T37" s="1337"/>
      <c r="U37" s="1321"/>
    </row>
    <row r="38" spans="1:21" s="778" customFormat="1" ht="21" customHeight="1" thickTop="1">
      <c r="A38" s="814"/>
      <c r="B38" s="815"/>
      <c r="C38" s="816"/>
      <c r="D38" s="782"/>
      <c r="E38" s="782"/>
      <c r="F38" s="782"/>
      <c r="G38" s="832">
        <f t="shared" si="0"/>
        <v>0</v>
      </c>
      <c r="H38" s="817"/>
      <c r="I38" s="818"/>
      <c r="J38" s="818"/>
      <c r="K38" s="818"/>
      <c r="L38" s="818"/>
      <c r="M38" s="819"/>
      <c r="N38" s="836">
        <f t="shared" si="2"/>
        <v>0</v>
      </c>
      <c r="O38" s="832">
        <f t="shared" si="3"/>
        <v>0</v>
      </c>
      <c r="P38" s="1322"/>
      <c r="Q38" s="1333"/>
      <c r="R38" s="1338"/>
      <c r="S38" s="1323"/>
      <c r="T38" s="1338"/>
      <c r="U38" s="1323"/>
    </row>
    <row r="39" spans="1:21" s="778" customFormat="1" ht="21" customHeight="1">
      <c r="A39" s="1385"/>
      <c r="B39" s="1386"/>
      <c r="C39" s="1387"/>
      <c r="D39" s="786"/>
      <c r="E39" s="786"/>
      <c r="F39" s="786"/>
      <c r="G39" s="832">
        <f>SUM(C39:F39)</f>
        <v>0</v>
      </c>
      <c r="H39" s="817"/>
      <c r="I39" s="818"/>
      <c r="J39" s="818"/>
      <c r="K39" s="818"/>
      <c r="L39" s="818"/>
      <c r="M39" s="819"/>
      <c r="N39" s="836">
        <f>C39-H39</f>
        <v>0</v>
      </c>
      <c r="O39" s="832">
        <f>G39-M39</f>
        <v>0</v>
      </c>
      <c r="P39" s="1322"/>
      <c r="Q39" s="1333"/>
      <c r="R39" s="1338"/>
      <c r="S39" s="1323"/>
      <c r="T39" s="1338"/>
      <c r="U39" s="1323"/>
    </row>
    <row r="40" spans="1:21" s="778" customFormat="1" ht="21" customHeight="1" thickBot="1">
      <c r="A40" s="820"/>
      <c r="B40" s="796"/>
      <c r="C40" s="785"/>
      <c r="D40" s="786"/>
      <c r="E40" s="786"/>
      <c r="F40" s="786"/>
      <c r="G40" s="833">
        <f t="shared" si="0"/>
        <v>0</v>
      </c>
      <c r="H40" s="821"/>
      <c r="I40" s="822"/>
      <c r="J40" s="822"/>
      <c r="K40" s="822"/>
      <c r="L40" s="822"/>
      <c r="M40" s="823"/>
      <c r="N40" s="837">
        <f t="shared" si="2"/>
        <v>0</v>
      </c>
      <c r="O40" s="833">
        <f t="shared" si="3"/>
        <v>0</v>
      </c>
      <c r="P40" s="1324"/>
      <c r="Q40" s="1334"/>
      <c r="R40" s="1339"/>
      <c r="S40" s="1325"/>
      <c r="T40" s="1339"/>
      <c r="U40" s="1325"/>
    </row>
    <row r="41" spans="1:21" s="778" customFormat="1" ht="21" customHeight="1" thickBot="1" thickTop="1">
      <c r="A41" s="2465" t="s">
        <v>1053</v>
      </c>
      <c r="B41" s="2466"/>
      <c r="C41" s="828">
        <f>SUM(C37:C40)</f>
        <v>0</v>
      </c>
      <c r="D41" s="829">
        <f>SUM(D37:D40)</f>
        <v>0</v>
      </c>
      <c r="E41" s="829">
        <f>SUM(E37:E40)</f>
        <v>0</v>
      </c>
      <c r="F41" s="829">
        <f>SUM(F37:F40)</f>
        <v>0</v>
      </c>
      <c r="G41" s="830">
        <f t="shared" si="0"/>
        <v>0</v>
      </c>
      <c r="H41" s="824"/>
      <c r="I41" s="825"/>
      <c r="J41" s="825"/>
      <c r="K41" s="825"/>
      <c r="L41" s="825"/>
      <c r="M41" s="826"/>
      <c r="N41" s="838">
        <f t="shared" si="2"/>
        <v>0</v>
      </c>
      <c r="O41" s="830">
        <f t="shared" si="3"/>
        <v>0</v>
      </c>
      <c r="P41" s="1326">
        <f>ROUND(N41/1000,0)</f>
        <v>0</v>
      </c>
      <c r="Q41" s="1335">
        <f>ROUND(O41/1000,0)</f>
        <v>0</v>
      </c>
      <c r="R41" s="1340"/>
      <c r="S41" s="1341"/>
      <c r="T41" s="1330">
        <f>P41+R41</f>
        <v>0</v>
      </c>
      <c r="U41" s="1327">
        <f>Q41+S41</f>
        <v>0</v>
      </c>
    </row>
    <row r="42" spans="1:21" s="778" customFormat="1" ht="21" customHeight="1" hidden="1" thickTop="1">
      <c r="A42" s="1370"/>
      <c r="B42" s="1371"/>
      <c r="C42" s="1372"/>
      <c r="D42" s="777"/>
      <c r="E42" s="777"/>
      <c r="F42" s="777"/>
      <c r="G42" s="831">
        <f>SUM(C42:F42)</f>
        <v>0</v>
      </c>
      <c r="H42" s="1373"/>
      <c r="I42" s="1374"/>
      <c r="J42" s="1374"/>
      <c r="K42" s="1374"/>
      <c r="L42" s="1374"/>
      <c r="M42" s="1375"/>
      <c r="N42" s="1376">
        <f>C42-H42</f>
        <v>0</v>
      </c>
      <c r="O42" s="831">
        <f>G42-M42</f>
        <v>0</v>
      </c>
      <c r="P42" s="1320"/>
      <c r="Q42" s="1332"/>
      <c r="R42" s="1337"/>
      <c r="S42" s="1321"/>
      <c r="T42" s="1337"/>
      <c r="U42" s="1321"/>
    </row>
    <row r="43" spans="1:21" s="778" customFormat="1" ht="21" customHeight="1" thickTop="1">
      <c r="A43" s="814"/>
      <c r="B43" s="815"/>
      <c r="C43" s="816"/>
      <c r="D43" s="782"/>
      <c r="E43" s="782"/>
      <c r="F43" s="782"/>
      <c r="G43" s="832">
        <f>SUM(C43:F43)</f>
        <v>0</v>
      </c>
      <c r="H43" s="817"/>
      <c r="I43" s="818"/>
      <c r="J43" s="818"/>
      <c r="K43" s="818"/>
      <c r="L43" s="818"/>
      <c r="M43" s="819"/>
      <c r="N43" s="836">
        <f>C43-H43</f>
        <v>0</v>
      </c>
      <c r="O43" s="832">
        <f>G43-M43</f>
        <v>0</v>
      </c>
      <c r="P43" s="1322"/>
      <c r="Q43" s="1333"/>
      <c r="R43" s="1338"/>
      <c r="S43" s="1323"/>
      <c r="T43" s="1338"/>
      <c r="U43" s="1323"/>
    </row>
    <row r="44" spans="1:21" s="778" customFormat="1" ht="21" customHeight="1">
      <c r="A44" s="1385"/>
      <c r="B44" s="1386"/>
      <c r="C44" s="1387"/>
      <c r="D44" s="786"/>
      <c r="E44" s="786"/>
      <c r="F44" s="786"/>
      <c r="G44" s="832">
        <f>SUM(C44:F44)</f>
        <v>0</v>
      </c>
      <c r="H44" s="817"/>
      <c r="I44" s="818"/>
      <c r="J44" s="818"/>
      <c r="K44" s="818"/>
      <c r="L44" s="818"/>
      <c r="M44" s="819"/>
      <c r="N44" s="836">
        <f>C44-H44</f>
        <v>0</v>
      </c>
      <c r="O44" s="832">
        <f>G44-M44</f>
        <v>0</v>
      </c>
      <c r="P44" s="1322"/>
      <c r="Q44" s="1333"/>
      <c r="R44" s="1338"/>
      <c r="S44" s="1323"/>
      <c r="T44" s="1338"/>
      <c r="U44" s="1323"/>
    </row>
    <row r="45" spans="1:21" s="778" customFormat="1" ht="21" customHeight="1" thickBot="1">
      <c r="A45" s="820"/>
      <c r="B45" s="796"/>
      <c r="C45" s="785"/>
      <c r="D45" s="786"/>
      <c r="E45" s="786"/>
      <c r="F45" s="786"/>
      <c r="G45" s="833">
        <f>SUM(C45:F45)</f>
        <v>0</v>
      </c>
      <c r="H45" s="821"/>
      <c r="I45" s="822"/>
      <c r="J45" s="822"/>
      <c r="K45" s="822"/>
      <c r="L45" s="822"/>
      <c r="M45" s="823"/>
      <c r="N45" s="837">
        <f>C45-H45</f>
        <v>0</v>
      </c>
      <c r="O45" s="833">
        <f>G45-M45</f>
        <v>0</v>
      </c>
      <c r="P45" s="1324"/>
      <c r="Q45" s="1334"/>
      <c r="R45" s="1339"/>
      <c r="S45" s="1325"/>
      <c r="T45" s="1339"/>
      <c r="U45" s="1325"/>
    </row>
    <row r="46" spans="1:21" s="778" customFormat="1" ht="28.5" customHeight="1" thickBot="1" thickTop="1">
      <c r="A46" s="2465" t="s">
        <v>1054</v>
      </c>
      <c r="B46" s="2466"/>
      <c r="C46" s="828">
        <f>SUM(C42:C45)</f>
        <v>0</v>
      </c>
      <c r="D46" s="829">
        <f>SUM(D42:D45)</f>
        <v>0</v>
      </c>
      <c r="E46" s="829">
        <f>SUM(E42:E45)</f>
        <v>0</v>
      </c>
      <c r="F46" s="829">
        <f>SUM(F42:F45)</f>
        <v>0</v>
      </c>
      <c r="G46" s="830">
        <f>SUM(C46:F46)</f>
        <v>0</v>
      </c>
      <c r="H46" s="824"/>
      <c r="I46" s="825"/>
      <c r="J46" s="825"/>
      <c r="K46" s="825"/>
      <c r="L46" s="825"/>
      <c r="M46" s="826"/>
      <c r="N46" s="838">
        <f>C46-H46</f>
        <v>0</v>
      </c>
      <c r="O46" s="830">
        <f>G46-M46</f>
        <v>0</v>
      </c>
      <c r="P46" s="1326">
        <f>ROUND(N46/1000,0)</f>
        <v>0</v>
      </c>
      <c r="Q46" s="1335">
        <f>ROUND(O46/1000,0)</f>
        <v>0</v>
      </c>
      <c r="R46" s="1340"/>
      <c r="S46" s="1341"/>
      <c r="T46" s="1330">
        <f>P46+R46</f>
        <v>0</v>
      </c>
      <c r="U46" s="1327">
        <f>Q46+S46</f>
        <v>0</v>
      </c>
    </row>
    <row r="47" spans="1:15" s="778" customFormat="1" ht="21" customHeight="1" thickBot="1" thickTop="1">
      <c r="A47" s="769"/>
      <c r="B47" s="769"/>
      <c r="C47" s="827"/>
      <c r="D47" s="827"/>
      <c r="E47" s="827"/>
      <c r="F47" s="827"/>
      <c r="G47" s="827"/>
      <c r="H47" s="827"/>
      <c r="I47" s="827"/>
      <c r="J47" s="827"/>
      <c r="K47" s="827"/>
      <c r="L47" s="827"/>
      <c r="M47" s="827"/>
      <c r="N47" s="827"/>
      <c r="O47" s="827"/>
    </row>
    <row r="48" spans="1:21" s="778" customFormat="1" ht="21" customHeight="1" thickBot="1" thickTop="1">
      <c r="A48" s="2461" t="s">
        <v>1055</v>
      </c>
      <c r="B48" s="2462"/>
      <c r="C48" s="828">
        <f aca="true" t="shared" si="4" ref="C48:O48">SUM(C11,C16,C21,C26,C31,C36,C41,C46)</f>
        <v>0</v>
      </c>
      <c r="D48" s="829">
        <f t="shared" si="4"/>
        <v>0</v>
      </c>
      <c r="E48" s="829">
        <f t="shared" si="4"/>
        <v>0</v>
      </c>
      <c r="F48" s="829">
        <f t="shared" si="4"/>
        <v>0</v>
      </c>
      <c r="G48" s="830">
        <f t="shared" si="4"/>
        <v>0</v>
      </c>
      <c r="H48" s="828">
        <f t="shared" si="4"/>
        <v>0</v>
      </c>
      <c r="I48" s="829">
        <f t="shared" si="4"/>
        <v>0</v>
      </c>
      <c r="J48" s="829">
        <f t="shared" si="4"/>
        <v>0</v>
      </c>
      <c r="K48" s="829">
        <f t="shared" si="4"/>
        <v>0</v>
      </c>
      <c r="L48" s="829">
        <f t="shared" si="4"/>
        <v>0</v>
      </c>
      <c r="M48" s="830">
        <f t="shared" si="4"/>
        <v>0</v>
      </c>
      <c r="N48" s="828">
        <f t="shared" si="4"/>
        <v>0</v>
      </c>
      <c r="O48" s="830">
        <f t="shared" si="4"/>
        <v>0</v>
      </c>
      <c r="P48" s="1344">
        <f>SUM(P41,P36,P31,P26,P21,P16,P11,P46)</f>
        <v>0</v>
      </c>
      <c r="Q48" s="1317">
        <f>SUM(Q41,Q36,Q31,Q26,Q21,Q16,Q11,Q46)</f>
        <v>0</v>
      </c>
      <c r="R48" s="1344">
        <f>SUM(R41,R36,R31,R26,R21,R16,R11,R46)</f>
        <v>0</v>
      </c>
      <c r="S48" s="1317">
        <f>SUM(S41,S36,S31,S26,S21,S16,S11,S46)</f>
        <v>0</v>
      </c>
      <c r="T48" s="1342">
        <f>ROUND(N48/1000,0)</f>
        <v>0</v>
      </c>
      <c r="U48" s="1343">
        <f>ROUND(O48/1000,0)</f>
        <v>0</v>
      </c>
    </row>
    <row r="49" spans="20:21" ht="16.5" thickBot="1" thickTop="1">
      <c r="T49" s="1345" t="str">
        <f>IF(T48-R48-P48=0,"OK",T48-R48-P48)</f>
        <v>OK</v>
      </c>
      <c r="U49" s="1345" t="str">
        <f>IF(U48-S48-Q48=0,"OK",U48-S48-Q48)</f>
        <v>OK</v>
      </c>
    </row>
  </sheetData>
  <mergeCells count="17">
    <mergeCell ref="P5:Q5"/>
    <mergeCell ref="R5:S5"/>
    <mergeCell ref="T5:U5"/>
    <mergeCell ref="A46:B46"/>
    <mergeCell ref="A26:B26"/>
    <mergeCell ref="A31:B31"/>
    <mergeCell ref="A36:B36"/>
    <mergeCell ref="A48:B48"/>
    <mergeCell ref="N5:O5"/>
    <mergeCell ref="A41:B41"/>
    <mergeCell ref="A11:B11"/>
    <mergeCell ref="A16:B16"/>
    <mergeCell ref="A21:B21"/>
    <mergeCell ref="A5:A6"/>
    <mergeCell ref="B5:B6"/>
    <mergeCell ref="C5:G5"/>
    <mergeCell ref="H5:M5"/>
  </mergeCells>
  <printOptions horizontalCentered="1"/>
  <pageMargins left="0.39" right="0.39" top="0.5905511811023623" bottom="1" header="0.3937007874015748" footer="0.42"/>
  <pageSetup horizontalDpi="600" verticalDpi="600" orientation="landscape" paperSize="9" scale="75" r:id="rId3"/>
  <headerFooter alignWithMargins="0">
    <oddFooter>&amp;L&amp;U                                                &amp;U
        vállalkozás vezetője
             (képviselője)&amp;C&amp;P/&amp;N&amp;R&amp;A</oddFooter>
  </headerFooter>
  <legacyDrawing r:id="rId2"/>
</worksheet>
</file>

<file path=xl/worksheets/sheet5.xml><?xml version="1.0" encoding="utf-8"?>
<worksheet xmlns="http://schemas.openxmlformats.org/spreadsheetml/2006/main" xmlns:r="http://schemas.openxmlformats.org/officeDocument/2006/relationships">
  <sheetPr codeName="Munka6"/>
  <dimension ref="A1:G109"/>
  <sheetViews>
    <sheetView showZeros="0" workbookViewId="0" topLeftCell="A28">
      <selection activeCell="E74" sqref="E74"/>
    </sheetView>
  </sheetViews>
  <sheetFormatPr defaultColWidth="9.00390625" defaultRowHeight="12.75"/>
  <cols>
    <col min="1" max="1" width="6.125" style="4" customWidth="1"/>
    <col min="2" max="2" width="54.375" style="4" customWidth="1"/>
    <col min="3" max="3" width="10.75390625" style="4" customWidth="1"/>
    <col min="4" max="4" width="11.25390625" style="4" customWidth="1"/>
    <col min="5" max="5" width="10.75390625" style="4" customWidth="1"/>
    <col min="6" max="6" width="3.75390625" style="4" customWidth="1"/>
    <col min="7" max="16384" width="9.125" style="4"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31</v>
      </c>
      <c r="F2" s="98"/>
    </row>
    <row r="3" spans="1:6" s="97" customFormat="1" ht="15" customHeight="1">
      <c r="A3" s="95" t="str">
        <f>Mérleg"A"!A3</f>
        <v>A vállalkozás megnevezése</v>
      </c>
      <c r="B3" s="96"/>
      <c r="F3" s="98"/>
    </row>
    <row r="4" spans="2:6" s="97" customFormat="1" ht="16.5" customHeight="1">
      <c r="B4" s="262" t="str">
        <f>Mérleg"A"!B4</f>
        <v>Komáromi Távhő Kft</v>
      </c>
      <c r="E4" s="101"/>
      <c r="F4" s="98"/>
    </row>
    <row r="5" spans="1:6" s="1" customFormat="1" ht="18" customHeight="1">
      <c r="A5" s="102" t="str">
        <f>IF(Általános!$B$19=Általános!$F$8,GLOBAL!B124,IF(Általános!$B$19=Általános!$F$9,GLOBAL!C124,IF(Általános!$B$19=Általános!$F$10,GLOBAL!D124)))</f>
        <v>Összköltség eljárással készített eredménykimutatás</v>
      </c>
      <c r="B5" s="103"/>
      <c r="C5" s="42"/>
      <c r="D5" s="42"/>
      <c r="E5" s="104"/>
      <c r="F5" s="60"/>
    </row>
    <row r="6" spans="1:6" s="1" customFormat="1" ht="18" customHeight="1">
      <c r="A6" s="102" t="str">
        <f>IF(Általános!$B$19=Általános!$F$8,GLOBAL!B125,IF(Általános!$B$19=Általános!$F$9,GLOBAL!C125,IF(Általános!$B$19=Általános!$F$10,GLOBAL!D125)))</f>
        <v>"A" változat</v>
      </c>
      <c r="B6" s="103"/>
      <c r="C6" s="42"/>
      <c r="D6" s="42"/>
      <c r="E6" s="104"/>
      <c r="F6" s="60"/>
    </row>
    <row r="7" spans="1:6" s="1" customFormat="1" ht="16.5" customHeight="1">
      <c r="A7" s="42" t="str">
        <f>Mérleg"A"!A7</f>
        <v>Az üzleti év mérlegfordulónapja: 2016.december 31. Hőszolg.</v>
      </c>
      <c r="B7" s="103"/>
      <c r="C7" s="42"/>
      <c r="D7" s="42"/>
      <c r="E7" s="42"/>
      <c r="F7" s="60"/>
    </row>
    <row r="8" spans="1:6" s="1" customFormat="1" ht="16.5" customHeight="1">
      <c r="A8" s="124" t="str">
        <f>Mérleg"A"!A8</f>
        <v>A közzétett adatokat könyvvizsgáló ellenőrizte</v>
      </c>
      <c r="B8" s="103"/>
      <c r="C8" s="42"/>
      <c r="D8" s="42"/>
      <c r="E8" s="42"/>
      <c r="F8" s="60"/>
    </row>
    <row r="9" spans="1:6" ht="13.5" thickBot="1">
      <c r="A9" s="1"/>
      <c r="C9" s="1"/>
      <c r="D9" s="1"/>
      <c r="E9" s="5" t="str">
        <f>IF(Általános!$B$19=Általános!$F$8,GLOBAL!B24,IF(Általános!$B$19=Általános!$F$9,GLOBAL!C24,IF(Általános!$B$19=Általános!$F$10,GLOBAL!D24)))</f>
        <v>Adatok E Ft-ban</v>
      </c>
      <c r="F9" s="72"/>
    </row>
    <row r="10" spans="1:6" s="48" customFormat="1" ht="45.75" customHeight="1">
      <c r="A10" s="130" t="str">
        <f>IF(Általános!$B$19=Általános!$F$8,GLOBAL!B25,IF(Általános!$B$19=Általános!$F$9,GLOBAL!C25,IF(Általános!$B$19=Általános!$F$10,GLOBAL!D25)))</f>
        <v>Sor-szám</v>
      </c>
      <c r="B10" s="340" t="str">
        <f>IF(Általános!$B$19=Általános!$F$8,GLOBAL!B26,IF(Általános!$B$19=Általános!$F$9,GLOBAL!C26,IF(Általános!$B$19=Általános!$F$10,GLOBAL!D26)))</f>
        <v>A tétel megnevezése</v>
      </c>
      <c r="C10" s="224" t="s">
        <v>1525</v>
      </c>
      <c r="D10" s="160" t="str">
        <f>IF(Általános!$B$19=Általános!$F$8,GLOBAL!B28,IF(Általános!$B$19=Általános!$F$9,GLOBAL!C28,IF(Általános!$B$19=Általános!$F$10,GLOBAL!D28)))</f>
        <v>Előző év(ek) módosításai</v>
      </c>
      <c r="E10" s="225" t="str">
        <f>IF(Általános!$B$19=Általános!$F$8,GLOBAL!B29,IF(Általános!$B$19=Általános!$F$9,GLOBAL!C29,IF(Általános!$B$19=Általános!$F$10,GLOBAL!D29)))</f>
        <v>Tárgyév</v>
      </c>
      <c r="F10" s="107"/>
    </row>
    <row r="11" spans="1:6" s="48" customFormat="1" ht="9.75" customHeight="1" thickBot="1">
      <c r="A11" s="264" t="s">
        <v>1530</v>
      </c>
      <c r="B11" s="62" t="s">
        <v>1531</v>
      </c>
      <c r="C11" s="62" t="s">
        <v>1532</v>
      </c>
      <c r="D11" s="62" t="s">
        <v>565</v>
      </c>
      <c r="E11" s="162" t="s">
        <v>566</v>
      </c>
      <c r="F11" s="107"/>
    </row>
    <row r="12" spans="1:6" s="48" customFormat="1" ht="21" customHeight="1">
      <c r="A12" s="265" t="s">
        <v>567</v>
      </c>
      <c r="B12" s="237" t="str">
        <f>IF(Általános!$B$19=Általános!$F$8,GLOBAL!B126,IF(Általános!$B$19=Általános!$F$9,GLOBAL!C126,IF(Általános!$B$19=Általános!$F$10,GLOBAL!D126)))</f>
        <v>Belföldi értékesítés nettó árbevétele</v>
      </c>
      <c r="C12" s="1554"/>
      <c r="D12" s="1553"/>
      <c r="E12" s="1554"/>
      <c r="F12" s="107" t="s">
        <v>1079</v>
      </c>
    </row>
    <row r="13" spans="1:6" s="48" customFormat="1" ht="21" customHeight="1">
      <c r="A13" s="266" t="s">
        <v>568</v>
      </c>
      <c r="B13" s="242" t="str">
        <f>IF(Általános!$B$19=Általános!$F$8,GLOBAL!B127,IF(Általános!$B$19=Általános!$F$9,GLOBAL!C127,IF(Általános!$B$19=Általános!$F$10,GLOBAL!D127)))</f>
        <v>Export értékesítés nettó árbevétele</v>
      </c>
      <c r="C13" s="289"/>
      <c r="D13" s="288"/>
      <c r="E13" s="1554"/>
      <c r="F13" s="107" t="s">
        <v>1081</v>
      </c>
    </row>
    <row r="14" spans="1:6" s="48" customFormat="1" ht="21" customHeight="1">
      <c r="A14" s="267" t="s">
        <v>1082</v>
      </c>
      <c r="B14" s="268" t="str">
        <f>IF(Általános!$B$19=Általános!$F$8,GLOBAL!B128,IF(Általános!$B$19=Általános!$F$9,GLOBAL!C128,IF(Általános!$B$19=Általános!$F$10,GLOBAL!D128)))&amp;" (01+02.)"</f>
        <v>Értékesítés nettó árbevétele (01+02.)</v>
      </c>
      <c r="C14" s="215">
        <f>SUM(C12:C13)</f>
        <v>0</v>
      </c>
      <c r="D14" s="215">
        <f>SUM(D12:D13)</f>
        <v>0</v>
      </c>
      <c r="E14" s="1554"/>
      <c r="F14" s="107" t="s">
        <v>1083</v>
      </c>
    </row>
    <row r="15" spans="1:6" s="48" customFormat="1" ht="21" customHeight="1">
      <c r="A15" s="265" t="s">
        <v>569</v>
      </c>
      <c r="B15" s="269" t="str">
        <f>IF(Általános!$B$19=Általános!$F$8,GLOBAL!B129,IF(Általános!$B$19=Általános!$F$9,GLOBAL!C129,IF(Általános!$B$19=Általános!$F$10,GLOBAL!D129)))</f>
        <v>Saját termelésű készletek állományváltozása</v>
      </c>
      <c r="C15" s="1554"/>
      <c r="D15" s="1553"/>
      <c r="E15" s="1554">
        <f>'L.H.I-VIIA'!J26</f>
        <v>0</v>
      </c>
      <c r="F15" s="107" t="s">
        <v>1085</v>
      </c>
    </row>
    <row r="16" spans="1:6" s="48" customFormat="1" ht="21" customHeight="1">
      <c r="A16" s="270" t="s">
        <v>570</v>
      </c>
      <c r="B16" s="271" t="str">
        <f>IF(Általános!$B$19=Általános!$F$8,GLOBAL!B130,IF(Általános!$B$19=Általános!$F$9,GLOBAL!C130,IF(Általános!$B$19=Általános!$F$10,GLOBAL!D130)))</f>
        <v>Saját előállítású eszközök aktivált értéke</v>
      </c>
      <c r="C16" s="289"/>
      <c r="D16" s="1555"/>
      <c r="E16" s="1556">
        <f>'L.H.I-VIIA'!J31</f>
        <v>0</v>
      </c>
      <c r="F16" s="107" t="s">
        <v>1087</v>
      </c>
    </row>
    <row r="17" spans="1:6" s="48" customFormat="1" ht="21" customHeight="1">
      <c r="A17" s="267" t="s">
        <v>1088</v>
      </c>
      <c r="B17" s="268" t="str">
        <f>IF(Általános!$B$19=Általános!$F$8,GLOBAL!B131,IF(Általános!$B$19=Általános!$F$9,GLOBAL!C131,IF(Általános!$B$19=Általános!$F$10,GLOBAL!D131)))&amp;"( ±03+04.)"</f>
        <v>Aktivált saját teljesítmények értéke( ±03+04.)</v>
      </c>
      <c r="C17" s="215">
        <f>SUM(C15:C16)</f>
        <v>0</v>
      </c>
      <c r="D17" s="215">
        <f>SUM(D15:D16)</f>
        <v>0</v>
      </c>
      <c r="E17" s="216">
        <f>SUM(E15:E16)</f>
        <v>0</v>
      </c>
      <c r="F17" s="107" t="s">
        <v>1089</v>
      </c>
    </row>
    <row r="18" spans="1:6" s="48" customFormat="1" ht="21" customHeight="1">
      <c r="A18" s="267" t="s">
        <v>1090</v>
      </c>
      <c r="B18" s="268" t="str">
        <f>IF(Általános!$B$19=Általános!$F$8,GLOBAL!B132,IF(Általános!$B$19=Általános!$F$9,GLOBAL!C132,IF(Általános!$B$19=Általános!$F$10,GLOBAL!D132)))</f>
        <v>Egyéb bevételek</v>
      </c>
      <c r="C18" s="215"/>
      <c r="D18" s="215"/>
      <c r="E18" s="216"/>
      <c r="F18" s="107" t="s">
        <v>1092</v>
      </c>
    </row>
    <row r="19" spans="1:6" s="48" customFormat="1" ht="21" customHeight="1">
      <c r="A19" s="272"/>
      <c r="B19" s="273" t="str">
        <f>IF(Általános!$B$19=Általános!$F$8,GLOBAL!B133,IF(Általános!$B$19=Általános!$F$9,GLOBAL!C133,IF(Általános!$B$19=Általános!$F$10,GLOBAL!D133)))</f>
        <v>     III.sorból: visszaírt értékvesztés</v>
      </c>
      <c r="C19" s="1557"/>
      <c r="D19" s="1557"/>
      <c r="E19" s="1558"/>
      <c r="F19" s="107" t="s">
        <v>1094</v>
      </c>
    </row>
    <row r="20" spans="1:6" s="48" customFormat="1" ht="21" customHeight="1">
      <c r="A20" s="141" t="s">
        <v>571</v>
      </c>
      <c r="B20" s="240" t="str">
        <f>IF(Általános!$B$19=Általános!$F$8,GLOBAL!B134,IF(Általános!$B$19=Általános!$F$9,GLOBAL!C134,IF(Általános!$B$19=Általános!$F$10,GLOBAL!D134)))</f>
        <v>Anyagköltség </v>
      </c>
      <c r="C20" s="295"/>
      <c r="D20" s="1559"/>
      <c r="E20" s="295"/>
      <c r="F20" s="107" t="s">
        <v>1096</v>
      </c>
    </row>
    <row r="21" spans="1:6" s="48" customFormat="1" ht="21" customHeight="1">
      <c r="A21" s="265" t="s">
        <v>572</v>
      </c>
      <c r="B21" s="237" t="str">
        <f>IF(Általános!$B$19=Általános!$F$8,GLOBAL!B135,IF(Általános!$B$19=Általános!$F$9,GLOBAL!C135,IF(Általános!$B$19=Általános!$F$10,GLOBAL!D135)))</f>
        <v>Igénybe vett szolgáltatások értéke</v>
      </c>
      <c r="C21" s="1554"/>
      <c r="D21" s="1553"/>
      <c r="E21" s="1554"/>
      <c r="F21" s="107" t="s">
        <v>1098</v>
      </c>
    </row>
    <row r="22" spans="1:6" s="48" customFormat="1" ht="21" customHeight="1">
      <c r="A22" s="265" t="s">
        <v>573</v>
      </c>
      <c r="B22" s="237" t="str">
        <f>IF(Általános!$B$19=Általános!$F$8,GLOBAL!B136,IF(Általános!$B$19=Általános!$F$9,GLOBAL!C136,IF(Általános!$B$19=Általános!$F$10,GLOBAL!D136)))</f>
        <v>Egyéb szolgáltatások értéke</v>
      </c>
      <c r="C22" s="1554"/>
      <c r="D22" s="1553"/>
      <c r="E22" s="1554"/>
      <c r="F22" s="107" t="s">
        <v>1100</v>
      </c>
    </row>
    <row r="23" spans="1:6" s="48" customFormat="1" ht="21" customHeight="1">
      <c r="A23" s="265" t="s">
        <v>574</v>
      </c>
      <c r="B23" s="237" t="str">
        <f>IF(Általános!$B$19=Általános!$F$8,GLOBAL!B137,IF(Általános!$B$19=Általános!$F$9,GLOBAL!C137,IF(Általános!$B$19=Általános!$F$10,GLOBAL!D137)))</f>
        <v>Eladott áruk beszerzési értéke</v>
      </c>
      <c r="C23" s="1554"/>
      <c r="D23" s="1553"/>
      <c r="E23" s="1554"/>
      <c r="F23" s="107" t="s">
        <v>1102</v>
      </c>
    </row>
    <row r="24" spans="1:6" s="48" customFormat="1" ht="21" customHeight="1">
      <c r="A24" s="266" t="s">
        <v>575</v>
      </c>
      <c r="B24" s="242" t="str">
        <f>IF(Általános!$B$19=Általános!$F$8,GLOBAL!B138,IF(Általános!$B$19=Általános!$F$9,GLOBAL!C138,IF(Általános!$B$19=Általános!$F$10,GLOBAL!D138)))</f>
        <v>Eladott (közvetített) szolgáltatások értéke</v>
      </c>
      <c r="C24" s="289"/>
      <c r="D24" s="288"/>
      <c r="E24" s="289"/>
      <c r="F24" s="107" t="s">
        <v>1107</v>
      </c>
    </row>
    <row r="25" spans="1:6" s="48" customFormat="1" ht="21" customHeight="1">
      <c r="A25" s="267" t="s">
        <v>1108</v>
      </c>
      <c r="B25" s="268" t="str">
        <f>IF(Általános!$B$19=Általános!$F$8,GLOBAL!B139,IF(Általános!$B$19=Általános!$F$9,GLOBAL!C139,IF(Általános!$B$19=Általános!$F$10,GLOBAL!D139)))&amp;" (05+06+07+08+09.)"</f>
        <v>Anyagjellegű ráfordítások (05+06+07+08+09.)</v>
      </c>
      <c r="C25" s="215">
        <f>SUM(C20:C24)</f>
        <v>0</v>
      </c>
      <c r="D25" s="215">
        <f>SUM(D20:D24)</f>
        <v>0</v>
      </c>
      <c r="E25" s="216">
        <f>SUM(E20:E24)</f>
        <v>0</v>
      </c>
      <c r="F25" s="107" t="s">
        <v>1109</v>
      </c>
    </row>
    <row r="26" spans="1:6" s="48" customFormat="1" ht="21" customHeight="1">
      <c r="A26" s="265" t="s">
        <v>576</v>
      </c>
      <c r="B26" s="237" t="str">
        <f>IF(Általános!$B$19=Általános!$F$8,GLOBAL!B140,IF(Általános!$B$19=Általános!$F$9,GLOBAL!C140,IF(Általános!$B$19=Általános!$F$10,GLOBAL!D140)))</f>
        <v>Bérköltség</v>
      </c>
      <c r="C26" s="1554"/>
      <c r="D26" s="1553"/>
      <c r="E26" s="1554"/>
      <c r="F26" s="107" t="s">
        <v>1111</v>
      </c>
    </row>
    <row r="27" spans="1:6" s="48" customFormat="1" ht="21" customHeight="1">
      <c r="A27" s="265" t="s">
        <v>577</v>
      </c>
      <c r="B27" s="237" t="str">
        <f>IF(Általános!$B$19=Általános!$F$8,GLOBAL!B141,IF(Általános!$B$19=Általános!$F$9,GLOBAL!C141,IF(Általános!$B$19=Általános!$F$10,GLOBAL!D141)))</f>
        <v>Személyi jellegű egyéb kifizetések</v>
      </c>
      <c r="C27" s="1554"/>
      <c r="D27" s="1553"/>
      <c r="E27" s="1554"/>
      <c r="F27" s="107" t="s">
        <v>1113</v>
      </c>
    </row>
    <row r="28" spans="1:7" s="48" customFormat="1" ht="21" customHeight="1">
      <c r="A28" s="266" t="s">
        <v>578</v>
      </c>
      <c r="B28" s="242" t="str">
        <f>IF(Általános!$B$19=Általános!$F$8,GLOBAL!B142,IF(Általános!$B$19=Általános!$F$9,GLOBAL!C142,IF(Általános!$B$19=Általános!$F$10,GLOBAL!D142)))</f>
        <v>Bérjárulékok</v>
      </c>
      <c r="C28" s="289"/>
      <c r="D28" s="288"/>
      <c r="E28" s="289"/>
      <c r="F28" s="107" t="s">
        <v>1115</v>
      </c>
      <c r="G28" s="1554"/>
    </row>
    <row r="29" spans="1:7" s="48" customFormat="1" ht="21" customHeight="1">
      <c r="A29" s="274" t="s">
        <v>1116</v>
      </c>
      <c r="B29" s="268" t="str">
        <f>IF(Általános!$B$19=Általános!$F$8,GLOBAL!B143,IF(Általános!$B$19=Általános!$F$9,GLOBAL!C143,IF(Általános!$B$19=Általános!$F$10,GLOBAL!D143)))&amp;" (10+11+12.)"</f>
        <v>Személyi jellegű ráfordítások (10+11+12.)</v>
      </c>
      <c r="C29" s="215"/>
      <c r="D29" s="215">
        <f>SUM(D26:D28)</f>
        <v>0</v>
      </c>
      <c r="E29" s="289">
        <f>SUM(E26:E28)</f>
        <v>0</v>
      </c>
      <c r="F29" s="107" t="s">
        <v>1117</v>
      </c>
      <c r="G29" s="1554"/>
    </row>
    <row r="30" spans="1:7" s="48" customFormat="1" ht="21" customHeight="1">
      <c r="A30" s="274" t="s">
        <v>1118</v>
      </c>
      <c r="B30" s="268" t="str">
        <f>IF(Általános!$B$19=Általános!$F$8,GLOBAL!B144,IF(Általános!$B$19=Általános!$F$9,GLOBAL!C144,IF(Általános!$B$19=Általános!$F$10,GLOBAL!D144)))</f>
        <v>Értékcsökkenési leírás</v>
      </c>
      <c r="C30" s="215"/>
      <c r="D30" s="215"/>
      <c r="E30" s="216"/>
      <c r="F30" s="107" t="s">
        <v>1120</v>
      </c>
      <c r="G30" s="289"/>
    </row>
    <row r="31" spans="1:6" s="48" customFormat="1" ht="21" customHeight="1">
      <c r="A31" s="267" t="s">
        <v>1121</v>
      </c>
      <c r="B31" s="268" t="str">
        <f>IF(Általános!$B$19=Általános!$F$8,GLOBAL!B145,IF(Általános!$B$19=Általános!$F$9,GLOBAL!C145,IF(Általános!$B$19=Általános!$F$10,GLOBAL!D145)))</f>
        <v>Egyéb ráfordítások</v>
      </c>
      <c r="C31" s="215"/>
      <c r="D31" s="215"/>
      <c r="E31" s="216"/>
      <c r="F31" s="107" t="s">
        <v>1123</v>
      </c>
    </row>
    <row r="32" spans="1:6" s="48" customFormat="1" ht="21" customHeight="1" thickBot="1">
      <c r="A32" s="275"/>
      <c r="B32" s="276" t="str">
        <f>IF(Általános!$B$19=Általános!$F$8,GLOBAL!B146,IF(Általános!$B$19=Általános!$F$9,GLOBAL!C146,IF(Általános!$B$19=Általános!$F$10,GLOBAL!D146)))</f>
        <v>     VII. sorból: értékvesztés</v>
      </c>
      <c r="C32" s="277"/>
      <c r="D32" s="277"/>
      <c r="E32" s="278"/>
      <c r="F32" s="107" t="s">
        <v>1125</v>
      </c>
    </row>
    <row r="33" spans="1:6" s="48" customFormat="1" ht="21" customHeight="1" thickBot="1">
      <c r="A33" s="275" t="s">
        <v>1126</v>
      </c>
      <c r="B33" s="279" t="str">
        <f>IF(Általános!$B$19=Általános!$F$8,GLOBAL!B147,IF(Általános!$B$19=Általános!$F$9,GLOBAL!C147,IF(Általános!$B$19=Általános!$F$10,GLOBAL!D147)))&amp;" (I±II+III-IV-V-VI-VII.)"</f>
        <v>ÜZEMI (ÜZLETI) TEVÉKENYSÉG EREDMÉNYE (I±II+III-IV-V-VI-VII.)</v>
      </c>
      <c r="C33" s="280">
        <f>C14+C17+C18-C25-C29-C30-C31</f>
        <v>0</v>
      </c>
      <c r="D33" s="280">
        <f>D14+D17+D18-D25-D29-D30-D31</f>
        <v>0</v>
      </c>
      <c r="E33" s="281">
        <f>E14+E17+E18-E25-E29-E30-E31</f>
        <v>0</v>
      </c>
      <c r="F33" s="107" t="s">
        <v>1127</v>
      </c>
    </row>
    <row r="37" ht="12.75">
      <c r="A37" s="32" t="str">
        <f>Mérleg"A"!A39</f>
        <v>Keltezés:</v>
      </c>
    </row>
    <row r="38" spans="2:5" ht="12.75">
      <c r="B38" s="263" t="str">
        <f>'Beszámoló Fedlap'!E47</f>
        <v>Komárom, 2016.04.29.</v>
      </c>
      <c r="C38" s="24"/>
      <c r="D38" s="24"/>
      <c r="E38" s="24"/>
    </row>
    <row r="39" spans="1:5" ht="12.75">
      <c r="A39" s="1"/>
      <c r="B39" s="351" t="str">
        <f>Mérleg"A"!B41</f>
        <v>                    P.H.</v>
      </c>
      <c r="C39" s="28" t="str">
        <f>Mérleg"A"!C41</f>
        <v>vállalakozás vezetője</v>
      </c>
      <c r="D39" s="28"/>
      <c r="E39" s="28"/>
    </row>
    <row r="40" spans="3:5" ht="12.75">
      <c r="C40" s="28" t="str">
        <f>Mérleg"A"!C42</f>
        <v>(képviselője)</v>
      </c>
      <c r="D40" s="28"/>
      <c r="E40" s="28"/>
    </row>
    <row r="43" spans="1:6" s="97" customFormat="1" ht="15" customHeight="1" thickBot="1">
      <c r="A43" s="95" t="str">
        <f>A1</f>
        <v>Statitsztikai számjel: 11183855353011311</v>
      </c>
      <c r="B43" s="96"/>
      <c r="F43" s="98"/>
    </row>
    <row r="44" spans="1:6" s="97" customFormat="1" ht="15" customHeight="1" thickBot="1">
      <c r="A44" s="95" t="str">
        <f>A2</f>
        <v>Cégjegyzék szám: 11-09-002700</v>
      </c>
      <c r="B44" s="7"/>
      <c r="E44" s="100">
        <v>32</v>
      </c>
      <c r="F44" s="98"/>
    </row>
    <row r="45" spans="1:6" s="97" customFormat="1" ht="15" customHeight="1">
      <c r="A45" s="95" t="str">
        <f>A3</f>
        <v>A vállalkozás megnevezése</v>
      </c>
      <c r="B45" s="96"/>
      <c r="F45" s="98"/>
    </row>
    <row r="46" spans="2:6" s="97" customFormat="1" ht="16.5" customHeight="1">
      <c r="B46" s="262" t="str">
        <f>B4</f>
        <v>Komáromi Távhő Kft</v>
      </c>
      <c r="E46" s="101"/>
      <c r="F46" s="98"/>
    </row>
    <row r="47" spans="1:6" s="1" customFormat="1" ht="18" customHeight="1">
      <c r="A47" s="102" t="str">
        <f>A5</f>
        <v>Összköltség eljárással készített eredménykimutatás</v>
      </c>
      <c r="B47" s="103"/>
      <c r="C47" s="42"/>
      <c r="D47" s="42"/>
      <c r="E47" s="104"/>
      <c r="F47" s="60"/>
    </row>
    <row r="48" spans="1:6" s="1" customFormat="1" ht="18" customHeight="1">
      <c r="A48" s="102" t="str">
        <f>A6</f>
        <v>"A" változat</v>
      </c>
      <c r="B48" s="103"/>
      <c r="C48" s="42"/>
      <c r="D48" s="42"/>
      <c r="E48" s="104"/>
      <c r="F48" s="60"/>
    </row>
    <row r="49" spans="1:6" s="1" customFormat="1" ht="16.5" customHeight="1">
      <c r="A49" s="42" t="str">
        <f>A7</f>
        <v>Az üzleti év mérlegfordulónapja: 2016.december 31. Hőszolg.</v>
      </c>
      <c r="B49" s="103"/>
      <c r="C49" s="42"/>
      <c r="D49" s="42"/>
      <c r="E49" s="42"/>
      <c r="F49" s="60"/>
    </row>
    <row r="50" spans="1:6" s="1" customFormat="1" ht="16.5" customHeight="1">
      <c r="A50" s="124" t="str">
        <f>A8</f>
        <v>A közzétett adatokat könyvvizsgáló ellenőrizte</v>
      </c>
      <c r="B50" s="103"/>
      <c r="C50" s="42"/>
      <c r="D50" s="42"/>
      <c r="E50" s="42"/>
      <c r="F50" s="60"/>
    </row>
    <row r="51" spans="1:5" ht="13.5" thickBot="1">
      <c r="A51" s="1"/>
      <c r="C51" s="1"/>
      <c r="D51" s="1"/>
      <c r="E51" s="5" t="str">
        <f>E9</f>
        <v>Adatok E Ft-ban</v>
      </c>
    </row>
    <row r="52" spans="1:6" s="48" customFormat="1" ht="35.25" customHeight="1">
      <c r="A52" s="130" t="str">
        <f>A10</f>
        <v>Sor-szám</v>
      </c>
      <c r="B52" s="340" t="str">
        <f>B10</f>
        <v>A tétel megnevezése</v>
      </c>
      <c r="C52" s="224" t="s">
        <v>1525</v>
      </c>
      <c r="D52" s="160" t="str">
        <f>D10</f>
        <v>Előző év(ek) módosításai</v>
      </c>
      <c r="E52" s="225" t="str">
        <f>E10</f>
        <v>Tárgyév</v>
      </c>
      <c r="F52" s="53"/>
    </row>
    <row r="53" spans="1:6" s="48" customFormat="1" ht="13.5" thickBot="1">
      <c r="A53" s="264" t="s">
        <v>1530</v>
      </c>
      <c r="B53" s="62" t="s">
        <v>1531</v>
      </c>
      <c r="C53" s="62" t="s">
        <v>1532</v>
      </c>
      <c r="D53" s="62" t="s">
        <v>565</v>
      </c>
      <c r="E53" s="162" t="s">
        <v>566</v>
      </c>
      <c r="F53" s="53"/>
    </row>
    <row r="54" spans="1:6" s="48" customFormat="1" ht="18" customHeight="1">
      <c r="A54" s="265" t="s">
        <v>1192</v>
      </c>
      <c r="B54" s="237" t="str">
        <f>IF(Általános!$B$19=Általános!$F$8,GLOBAL!B148,IF(Általános!$B$19=Általános!$F$9,GLOBAL!C148,IF(Általános!$B$19=Általános!$F$10,GLOBAL!D148)))</f>
        <v>Kapott (járó) osztalék és részesedés</v>
      </c>
      <c r="C54" s="1553"/>
      <c r="D54" s="217"/>
      <c r="E54" s="1554"/>
      <c r="F54" s="18">
        <v>23</v>
      </c>
    </row>
    <row r="55" spans="1:6" s="48" customFormat="1" ht="18" customHeight="1">
      <c r="A55" s="265"/>
      <c r="B55" s="237" t="str">
        <f>IF(Általános!$B$19=Általános!$F$8,GLOBAL!B149,IF(Általános!$B$19=Általános!$F$9,GLOBAL!C149,IF(Általános!$B$19=Általános!$F$10,GLOBAL!D149)))</f>
        <v>     13. sorból: kapcsolt vállalkozástól kapott</v>
      </c>
      <c r="C55" s="217"/>
      <c r="D55" s="217"/>
      <c r="E55" s="218"/>
      <c r="F55" s="18">
        <v>24</v>
      </c>
    </row>
    <row r="56" spans="1:6" s="48" customFormat="1" ht="18" customHeight="1">
      <c r="A56" s="265" t="s">
        <v>1193</v>
      </c>
      <c r="B56" s="237" t="str">
        <f>IF(Általános!$B$19=Általános!$F$8,GLOBAL!B150,IF(Általános!$B$19=Általános!$F$9,GLOBAL!C150,IF(Általános!$B$19=Általános!$F$10,GLOBAL!D150)))</f>
        <v>Részesedések értékesítésének árfolyamnyeresége</v>
      </c>
      <c r="C56" s="1553">
        <f>'L.H.VIII-IX'!I16</f>
        <v>0</v>
      </c>
      <c r="D56" s="217"/>
      <c r="E56" s="1554">
        <f>'L.H.VIII-IX'!J16</f>
        <v>0</v>
      </c>
      <c r="F56" s="18">
        <v>25</v>
      </c>
    </row>
    <row r="57" spans="1:6" s="48" customFormat="1" ht="18" customHeight="1">
      <c r="A57" s="265"/>
      <c r="B57" s="237" t="str">
        <f>IF(Általános!$B$19=Általános!$F$8,GLOBAL!B151,IF(Általános!$B$19=Általános!$F$9,GLOBAL!C151,IF(Általános!$B$19=Általános!$F$10,GLOBAL!D151)))</f>
        <v>     14. sorból: kapcsolt vállalkozástól kapott</v>
      </c>
      <c r="C57" s="217"/>
      <c r="D57" s="217"/>
      <c r="E57" s="218"/>
      <c r="F57" s="18">
        <v>26</v>
      </c>
    </row>
    <row r="58" spans="1:6" s="48" customFormat="1" ht="18" customHeight="1">
      <c r="A58" s="265" t="s">
        <v>1194</v>
      </c>
      <c r="B58" s="237" t="str">
        <f>IF(Általános!$B$19=Általános!$F$8,GLOBAL!B152,IF(Általános!$B$19=Általános!$F$9,GLOBAL!C152,IF(Általános!$B$19=Általános!$F$10,GLOBAL!D152)))</f>
        <v>Befektetett pénzügyi eszközök kamatai, árfolyamnyeresége</v>
      </c>
      <c r="C58" s="1553">
        <f>'L.H.VIII-IX'!I21</f>
        <v>0</v>
      </c>
      <c r="D58" s="217"/>
      <c r="E58" s="1554"/>
      <c r="F58" s="18">
        <v>27</v>
      </c>
    </row>
    <row r="59" spans="1:6" s="48" customFormat="1" ht="18" customHeight="1">
      <c r="A59" s="265"/>
      <c r="B59" s="237" t="str">
        <f>IF(Általános!$B$19=Általános!$F$8,GLOBAL!B153,IF(Általános!$B$19=Általános!$F$9,GLOBAL!C153,IF(Általános!$B$19=Általános!$F$10,GLOBAL!D153)))</f>
        <v>     15. sorból: kapcsolt vállalkozástól kapott</v>
      </c>
      <c r="C59" s="217"/>
      <c r="D59" s="217"/>
      <c r="E59" s="218"/>
      <c r="F59" s="18">
        <v>28</v>
      </c>
    </row>
    <row r="60" spans="1:6" s="48" customFormat="1" ht="18" customHeight="1">
      <c r="A60" s="265" t="s">
        <v>1195</v>
      </c>
      <c r="B60" s="237" t="str">
        <f>IF(Általános!$B$19=Általános!$F$8,GLOBAL!B154,IF(Általános!$B$19=Általános!$F$9,GLOBAL!C154,IF(Általános!$B$19=Általános!$F$10,GLOBAL!D154)))</f>
        <v>Egyéb kapott (járó) kamatok és kamatjellegű bevételek</v>
      </c>
      <c r="C60" s="1553"/>
      <c r="D60" s="217"/>
      <c r="E60" s="1554"/>
      <c r="F60" s="18">
        <v>29</v>
      </c>
    </row>
    <row r="61" spans="1:6" s="48" customFormat="1" ht="18" customHeight="1">
      <c r="A61" s="265"/>
      <c r="B61" s="237" t="str">
        <f>IF(Általános!$B$19=Általános!$F$8,GLOBAL!B155,IF(Általános!$B$19=Általános!$F$9,GLOBAL!C155,IF(Általános!$B$19=Általános!$F$10,GLOBAL!D155)))</f>
        <v>     16. sorból: kapcsolt vállalkozástól kapott</v>
      </c>
      <c r="C61" s="217"/>
      <c r="D61" s="217"/>
      <c r="E61" s="218"/>
      <c r="F61" s="18">
        <v>30</v>
      </c>
    </row>
    <row r="62" spans="1:6" s="48" customFormat="1" ht="18" customHeight="1">
      <c r="A62" s="266" t="s">
        <v>1196</v>
      </c>
      <c r="B62" s="242" t="str">
        <f>IF(Általános!$B$19=Általános!$F$8,GLOBAL!B156,IF(Általános!$B$19=Általános!$F$9,GLOBAL!C156,IF(Általános!$B$19=Általános!$F$10,GLOBAL!D156)))</f>
        <v>Pénzügyi műveletek egyéb bevételei</v>
      </c>
      <c r="C62" s="288"/>
      <c r="D62" s="213"/>
      <c r="E62" s="289"/>
      <c r="F62" s="18">
        <v>31</v>
      </c>
    </row>
    <row r="63" spans="1:6" s="48" customFormat="1" ht="18" customHeight="1">
      <c r="A63" s="267" t="s">
        <v>343</v>
      </c>
      <c r="B63" s="282" t="str">
        <f>IF(Általános!$B$19=Általános!$F$8,GLOBAL!B157,IF(Általános!$B$19=Általános!$F$9,GLOBAL!C157,IF(Általános!$B$19=Általános!$F$10,GLOBAL!D157)))&amp;" (13+14+15+16+17.)"</f>
        <v>Pénzügyi műveletek bevételei (13+14+15+16+17.)</v>
      </c>
      <c r="C63" s="215">
        <f>C54+C56+C58+C60+C62</f>
        <v>0</v>
      </c>
      <c r="D63" s="215">
        <f>D54+D56+D58+D60+D62</f>
        <v>0</v>
      </c>
      <c r="E63" s="216">
        <f>SUM(E54:E62)</f>
        <v>0</v>
      </c>
      <c r="F63" s="18">
        <v>32</v>
      </c>
    </row>
    <row r="64" spans="1:6" s="48" customFormat="1" ht="18" customHeight="1">
      <c r="A64" s="265" t="s">
        <v>1197</v>
      </c>
      <c r="B64" s="237" t="str">
        <f>IF(Általános!$B$19=Általános!$F$8,GLOBAL!B158,IF(Általános!$B$19=Általános!$F$9,GLOBAL!C158,IF(Általános!$B$19=Általános!$F$10,GLOBAL!D158)))</f>
        <v>Befektetett pénzügyi eszközök árfolyamvesztesége</v>
      </c>
      <c r="C64" s="1553">
        <f>'L.H.VIII-IX'!I37</f>
        <v>0</v>
      </c>
      <c r="D64" s="217"/>
      <c r="E64" s="1554">
        <f>'L.H.VIII-IX'!J37</f>
        <v>0</v>
      </c>
      <c r="F64" s="18">
        <v>33</v>
      </c>
    </row>
    <row r="65" spans="1:6" s="48" customFormat="1" ht="18" customHeight="1">
      <c r="A65" s="265"/>
      <c r="B65" s="237" t="str">
        <f>IF(Általános!$B$19=Általános!$F$8,GLOBAL!B159,IF(Általános!$B$19=Általános!$F$9,GLOBAL!C159,IF(Általános!$B$19=Általános!$F$10,GLOBAL!D159)))</f>
        <v>     18. sorból: kapcsolt vállalkozásnak adott</v>
      </c>
      <c r="C65" s="217"/>
      <c r="D65" s="217"/>
      <c r="E65" s="218"/>
      <c r="F65" s="18">
        <v>34</v>
      </c>
    </row>
    <row r="66" spans="1:6" s="48" customFormat="1" ht="18" customHeight="1">
      <c r="A66" s="265" t="s">
        <v>1198</v>
      </c>
      <c r="B66" s="237" t="str">
        <f>IF(Általános!$B$19=Általános!$F$8,GLOBAL!B160,IF(Általános!$B$19=Általános!$F$9,GLOBAL!C160,IF(Általános!$B$19=Általános!$F$10,GLOBAL!D160)))</f>
        <v>Fizetendő kamatok és kamatjellegű ráfordítások</v>
      </c>
      <c r="C66" s="1553"/>
      <c r="D66" s="217"/>
      <c r="E66" s="1554"/>
      <c r="F66" s="18">
        <v>35</v>
      </c>
    </row>
    <row r="67" spans="1:6" s="48" customFormat="1" ht="18" customHeight="1">
      <c r="A67" s="265"/>
      <c r="B67" s="237" t="str">
        <f>IF(Általános!$B$19=Általános!$F$8,GLOBAL!B161,IF(Általános!$B$19=Általános!$F$9,GLOBAL!C161,IF(Általános!$B$19=Általános!$F$10,GLOBAL!D161)))</f>
        <v>     19. sorból: kapcsolt vállalkozásnak adott</v>
      </c>
      <c r="C67" s="217"/>
      <c r="D67" s="217"/>
      <c r="E67" s="218"/>
      <c r="F67" s="18">
        <v>36</v>
      </c>
    </row>
    <row r="68" spans="1:6" s="48" customFormat="1" ht="18" customHeight="1">
      <c r="A68" s="265" t="s">
        <v>1199</v>
      </c>
      <c r="B68" s="237" t="str">
        <f>IF(Általános!$B$19=Általános!$F$8,GLOBAL!B162,IF(Általános!$B$19=Általános!$F$9,GLOBAL!C162,IF(Általános!$B$19=Általános!$F$10,GLOBAL!D162)))</f>
        <v>Részesedések, értékpapírok, bankbetétek értékvesztése</v>
      </c>
      <c r="C68" s="1553"/>
      <c r="D68" s="1553"/>
      <c r="E68" s="1554"/>
      <c r="F68" s="18">
        <v>37</v>
      </c>
    </row>
    <row r="69" spans="1:6" s="48" customFormat="1" ht="18" customHeight="1">
      <c r="A69" s="266" t="s">
        <v>1200</v>
      </c>
      <c r="B69" s="242" t="str">
        <f>IF(Általános!$B$19=Általános!$F$8,GLOBAL!B163,IF(Általános!$B$19=Általános!$F$9,GLOBAL!C163,IF(Általános!$B$19=Általános!$F$10,GLOBAL!D163)))</f>
        <v>Pénzügyi műveletek egyéb ráfordításai</v>
      </c>
      <c r="C69" s="288"/>
      <c r="D69" s="288"/>
      <c r="E69" s="289"/>
      <c r="F69" s="18">
        <v>38</v>
      </c>
    </row>
    <row r="70" spans="1:6" s="48" customFormat="1" ht="18" customHeight="1" thickBot="1">
      <c r="A70" s="283" t="s">
        <v>675</v>
      </c>
      <c r="B70" s="284" t="str">
        <f>IF(Általános!$B$19=Általános!$F$8,GLOBAL!B164,IF(Általános!$B$19=Általános!$F$9,GLOBAL!C164,IF(Általános!$B$19=Általános!$F$10,GLOBAL!D164)))&amp;" (18+19±20+21.)"</f>
        <v>Pénzügyi műveletek ráfordításai (18+19±20+21.)</v>
      </c>
      <c r="C70" s="285">
        <f>C64+C66+C68+C69</f>
        <v>0</v>
      </c>
      <c r="D70" s="285">
        <f>D64+D66+D68+D69</f>
        <v>0</v>
      </c>
      <c r="E70" s="286">
        <f>E64+E66+E68+E69</f>
        <v>0</v>
      </c>
      <c r="F70" s="18">
        <v>39</v>
      </c>
    </row>
    <row r="71" spans="1:6" s="48" customFormat="1" ht="18" customHeight="1" thickBot="1">
      <c r="A71" s="266" t="s">
        <v>676</v>
      </c>
      <c r="B71" s="287" t="str">
        <f>IF(Általános!$B$19=Általános!$F$8,GLOBAL!B165,IF(Általános!$B$19=Általános!$F$9,GLOBAL!C165,IF(Általános!$B$19=Általános!$F$10,GLOBAL!D165)))&amp;" (VIII-IX.)"</f>
        <v>PÉNZÜGYI MŰVELETEK EREDMÉNYE (VIII-IX.)</v>
      </c>
      <c r="C71" s="288">
        <f>C63-C70</f>
        <v>0</v>
      </c>
      <c r="D71" s="288">
        <f>D63-D70</f>
        <v>0</v>
      </c>
      <c r="E71" s="289">
        <f>E63-E70</f>
        <v>0</v>
      </c>
      <c r="F71" s="18">
        <v>40</v>
      </c>
    </row>
    <row r="72" spans="1:6" s="48" customFormat="1" ht="18" customHeight="1" thickBot="1">
      <c r="A72" s="137" t="s">
        <v>677</v>
      </c>
      <c r="B72" s="290" t="str">
        <f>IF(Általános!$B$19=Általános!$F$8,GLOBAL!B166,IF(Általános!$B$19=Általános!$F$9,GLOBAL!C166,IF(Általános!$B$19=Általános!$F$10,GLOBAL!D166)))&amp;" (±A±B.)"</f>
        <v>SZOKÁSOS VÁLLALKOZÁSI EREDMÉNY (±A±B.)</v>
      </c>
      <c r="C72" s="220">
        <f>C33+C71</f>
        <v>0</v>
      </c>
      <c r="D72" s="220">
        <f>D33+D71</f>
        <v>0</v>
      </c>
      <c r="E72" s="221">
        <f>E33+E71</f>
        <v>0</v>
      </c>
      <c r="F72" s="18">
        <v>41</v>
      </c>
    </row>
    <row r="73" spans="1:6" s="48" customFormat="1" ht="18" customHeight="1">
      <c r="A73" s="291" t="s">
        <v>678</v>
      </c>
      <c r="B73" s="292" t="str">
        <f>IF(Általános!$B$19=Általános!$F$8,GLOBAL!B167,IF(Általános!$B$19=Általános!$F$9,GLOBAL!C167,IF(Általános!$B$19=Általános!$F$10,GLOBAL!D167)))</f>
        <v>Rendkívüli bevételek</v>
      </c>
      <c r="C73" s="1560">
        <f>'L.H.X-XI'!I11</f>
        <v>0</v>
      </c>
      <c r="D73" s="293"/>
      <c r="E73" s="1561"/>
      <c r="F73" s="18">
        <v>42</v>
      </c>
    </row>
    <row r="74" spans="1:6" s="48" customFormat="1" ht="18" customHeight="1" thickBot="1">
      <c r="A74" s="283" t="s">
        <v>680</v>
      </c>
      <c r="B74" s="284" t="str">
        <f>IF(Általános!$B$19=Általános!$F$8,GLOBAL!B168,IF(Általános!$B$19=Általános!$F$9,GLOBAL!C168,IF(Általános!$B$19=Általános!$F$10,GLOBAL!D168)))</f>
        <v>Rendkívüli ráfordítások</v>
      </c>
      <c r="C74" s="285"/>
      <c r="D74" s="294"/>
      <c r="E74" s="286"/>
      <c r="F74" s="18">
        <v>43</v>
      </c>
    </row>
    <row r="75" spans="1:6" s="48" customFormat="1" ht="18" customHeight="1" thickBot="1">
      <c r="A75" s="266" t="s">
        <v>682</v>
      </c>
      <c r="B75" s="287" t="str">
        <f>IF(Általános!$B$19=Általános!$F$8,GLOBAL!B169,IF(Általános!$B$19=Általános!$F$9,GLOBAL!C169,IF(Általános!$B$19=Általános!$F$10,GLOBAL!D169)))&amp;" (X-XI.)"</f>
        <v>RENDKÍVÜLI EREDMÉNY (X-XI.)</v>
      </c>
      <c r="C75" s="288">
        <f>C73-C74</f>
        <v>0</v>
      </c>
      <c r="D75" s="288">
        <f>D73-D74</f>
        <v>0</v>
      </c>
      <c r="E75" s="289">
        <f>E73-E74</f>
        <v>0</v>
      </c>
      <c r="F75" s="18">
        <v>44</v>
      </c>
    </row>
    <row r="76" spans="1:6" s="48" customFormat="1" ht="18" customHeight="1" thickBot="1">
      <c r="A76" s="137" t="s">
        <v>683</v>
      </c>
      <c r="B76" s="290" t="str">
        <f>IF(Általános!$B$19=Általános!$F$8,UPPER(GLOBAL!B170),IF(Általános!$B$19=Általános!$F$9,UPPER(GLOBAL!C170),IF(Általános!$B$19=Általános!$F$10,UPPER(GLOBAL!D170))))&amp;" (±C±D.)"</f>
        <v>ADÓZÁS ELŐTTI EREDMÉNY (±C±D.)</v>
      </c>
      <c r="C76" s="220">
        <f>C72+C75</f>
        <v>0</v>
      </c>
      <c r="D76" s="220">
        <f>D72+D75</f>
        <v>0</v>
      </c>
      <c r="E76" s="221">
        <f>E72+E75</f>
        <v>0</v>
      </c>
      <c r="F76" s="18">
        <v>45</v>
      </c>
    </row>
    <row r="77" spans="1:6" s="48" customFormat="1" ht="18" customHeight="1" thickBot="1">
      <c r="A77" s="266" t="s">
        <v>684</v>
      </c>
      <c r="B77" s="287" t="str">
        <f>IF(Általános!$B$19=Általános!$F$8,GLOBAL!B171,IF(Általános!$B$19=Általános!$F$9,GLOBAL!C171,IF(Általános!$B$19=Általános!$F$10,GLOBAL!D171)))</f>
        <v>Adófizetési kötelezettség</v>
      </c>
      <c r="C77" s="213"/>
      <c r="D77" s="213"/>
      <c r="E77" s="289"/>
      <c r="F77" s="18">
        <v>46</v>
      </c>
    </row>
    <row r="78" spans="1:6" s="48" customFormat="1" ht="18" customHeight="1" thickBot="1">
      <c r="A78" s="137" t="s">
        <v>686</v>
      </c>
      <c r="B78" s="290" t="str">
        <f>IF(Általános!$B$19=Általános!$F$8,UPPER(GLOBAL!B172),IF(Általános!$B$19=Általános!$F$9,UPPER(GLOBAL!C172),IF(Általános!$B$19=Általános!$F$10,UPPER(GLOBAL!D172))))&amp;" (±E-XII.)"</f>
        <v>ADÓZOTT EREDMÉNY (±E-XII.)</v>
      </c>
      <c r="C78" s="220">
        <f>+C76-C77</f>
        <v>0</v>
      </c>
      <c r="D78" s="220">
        <f>+D76-D77</f>
        <v>0</v>
      </c>
      <c r="E78" s="221"/>
      <c r="F78" s="18">
        <v>47</v>
      </c>
    </row>
    <row r="79" spans="1:6" s="48" customFormat="1" ht="18" customHeight="1">
      <c r="A79" s="265" t="s">
        <v>1201</v>
      </c>
      <c r="B79" s="237" t="str">
        <f>IF(Általános!$B$19=Általános!$F$8,GLOBAL!B173,IF(Általános!$B$19=Általános!$F$9,GLOBAL!C173,IF(Általános!$B$19=Általános!$F$10,GLOBAL!D173)))</f>
        <v>Eredménytartalék igénybevétele osztalékra, részesedésre</v>
      </c>
      <c r="C79" s="217"/>
      <c r="D79" s="217"/>
      <c r="E79" s="218"/>
      <c r="F79" s="18">
        <v>48</v>
      </c>
    </row>
    <row r="80" spans="1:6" s="48" customFormat="1" ht="18" customHeight="1" thickBot="1">
      <c r="A80" s="266" t="s">
        <v>1202</v>
      </c>
      <c r="B80" s="242" t="str">
        <f>IF(Általános!$B$19=Általános!$F$8,GLOBAL!B174,IF(Általános!$B$19=Általános!$F$9,GLOBAL!C174,IF(Általános!$B$19=Általános!$F$10,GLOBAL!D174)))</f>
        <v>Fizetett (jóváhagyott) osztalék és részesedés</v>
      </c>
      <c r="C80" s="213"/>
      <c r="D80" s="213"/>
      <c r="E80" s="208">
        <v>0</v>
      </c>
      <c r="F80" s="18">
        <v>49</v>
      </c>
    </row>
    <row r="81" spans="1:6" s="48" customFormat="1" ht="18" customHeight="1" thickBot="1">
      <c r="A81" s="137" t="s">
        <v>689</v>
      </c>
      <c r="B81" s="290" t="str">
        <f>IF(Általános!$B$19=Általános!$F$8,GLOBAL!B175,IF(Általános!$B$19=Általános!$F$9,GLOBAL!C175,IF(Általános!$B$19=Általános!$F$10,GLOBAL!D175)))&amp;" (±F+22-23.)"</f>
        <v>MÉRLEG SZERINTI EREDMÉNY (±F+22-23.)</v>
      </c>
      <c r="C81" s="220">
        <f>C78+C79-C80</f>
        <v>0</v>
      </c>
      <c r="D81" s="220">
        <f>D78+D79-D80</f>
        <v>0</v>
      </c>
      <c r="E81" s="221">
        <f>E78+E79-E80</f>
        <v>0</v>
      </c>
      <c r="F81" s="18">
        <v>50</v>
      </c>
    </row>
    <row r="83" ht="12.75">
      <c r="A83" s="32" t="str">
        <f>A37</f>
        <v>Keltezés:</v>
      </c>
    </row>
    <row r="84" spans="2:5" ht="12.75">
      <c r="B84" s="263" t="str">
        <f>B38</f>
        <v>Komárom, 2016.04.29.</v>
      </c>
      <c r="C84" s="24"/>
      <c r="D84" s="24"/>
      <c r="E84" s="24"/>
    </row>
    <row r="85" spans="2:5" ht="12.75">
      <c r="B85" s="126" t="str">
        <f>B39</f>
        <v>                    P.H.</v>
      </c>
      <c r="C85" s="28" t="str">
        <f>C39</f>
        <v>vállalakozás vezetője</v>
      </c>
      <c r="D85" s="28"/>
      <c r="E85" s="28"/>
    </row>
    <row r="86" spans="3:5" ht="12.75">
      <c r="C86" s="28" t="str">
        <f>C40</f>
        <v>(képviselője)</v>
      </c>
      <c r="D86" s="28"/>
      <c r="E86" s="28"/>
    </row>
    <row r="105" ht="12.75">
      <c r="E105" s="4">
        <v>38669</v>
      </c>
    </row>
    <row r="109" ht="12.75">
      <c r="E109" s="4">
        <v>-5551</v>
      </c>
    </row>
  </sheetData>
  <sheetProtection/>
  <printOptions horizontalCentered="1"/>
  <pageMargins left="0.3937007874015748" right="0.3937007874015748" top="0.3937007874015748" bottom="0.3937007874015748" header="0.3937007874015748" footer="0.3937007874015748"/>
  <pageSetup horizontalDpi="120" verticalDpi="120" orientation="portrait" paperSize="9" r:id="rId2"/>
  <rowBreaks count="1" manualBreakCount="1">
    <brk id="42" max="5" man="1"/>
  </rowBreaks>
  <drawing r:id="rId1"/>
</worksheet>
</file>

<file path=xl/worksheets/sheet50.xml><?xml version="1.0" encoding="utf-8"?>
<worksheet xmlns="http://schemas.openxmlformats.org/spreadsheetml/2006/main" xmlns:r="http://schemas.openxmlformats.org/officeDocument/2006/relationships">
  <sheetPr codeName="Munka18"/>
  <dimension ref="A1:R39"/>
  <sheetViews>
    <sheetView zoomScale="85" zoomScaleNormal="85" workbookViewId="0" topLeftCell="A1">
      <pane xSplit="2" ySplit="6" topLeftCell="C7" activePane="bottomRight" state="frozen"/>
      <selection pane="topLeft" activeCell="A1" sqref="A1"/>
      <selection pane="topRight" activeCell="C1" sqref="C1"/>
      <selection pane="bottomLeft" activeCell="A7" sqref="A7"/>
      <selection pane="bottomRight" activeCell="R38" sqref="R38"/>
    </sheetView>
  </sheetViews>
  <sheetFormatPr defaultColWidth="9.00390625" defaultRowHeight="12.75"/>
  <cols>
    <col min="1" max="1" width="12.375" style="388" customWidth="1"/>
    <col min="2" max="2" width="23.25390625" style="388" customWidth="1"/>
    <col min="3" max="12" width="12.75390625" style="388" customWidth="1"/>
    <col min="13" max="18" width="10.75390625" style="388" customWidth="1"/>
    <col min="19" max="16384" width="9.125" style="388" customWidth="1"/>
  </cols>
  <sheetData>
    <row r="1" spans="1:12" s="372" customFormat="1" ht="15">
      <c r="A1" s="387" t="str">
        <f>'III.A.I-II'!A1</f>
        <v>Komáromi Távhő Kft</v>
      </c>
      <c r="B1" s="470"/>
      <c r="C1" s="470"/>
      <c r="D1" s="470"/>
      <c r="L1" s="389" t="str">
        <f>'L.A.III'!O1</f>
        <v>Pénzügyi leltár 2016. december 31.Hőszolgáltatás </v>
      </c>
    </row>
    <row r="2" spans="1:12" s="372" customFormat="1" ht="15">
      <c r="A2" s="387"/>
      <c r="B2" s="470"/>
      <c r="C2" s="470"/>
      <c r="D2" s="470"/>
      <c r="L2" s="389"/>
    </row>
    <row r="3" spans="1:12" s="628" customFormat="1" ht="16.5">
      <c r="A3" s="840" t="s">
        <v>624</v>
      </c>
      <c r="B3" s="571"/>
      <c r="C3" s="571"/>
      <c r="D3" s="571"/>
      <c r="E3" s="571"/>
      <c r="F3" s="571"/>
      <c r="G3" s="571"/>
      <c r="H3" s="571"/>
      <c r="I3" s="571"/>
      <c r="J3" s="571"/>
      <c r="K3" s="393"/>
      <c r="L3" s="393"/>
    </row>
    <row r="4" ht="13.5" thickBot="1">
      <c r="L4" s="746" t="str">
        <f>'L.A.III'!O4</f>
        <v>Adatok Ft-ban</v>
      </c>
    </row>
    <row r="5" spans="1:18" s="739" customFormat="1" ht="19.5" customHeight="1">
      <c r="A5" s="2482" t="s">
        <v>1038</v>
      </c>
      <c r="B5" s="2475" t="s">
        <v>41</v>
      </c>
      <c r="C5" s="2477" t="s">
        <v>167</v>
      </c>
      <c r="D5" s="2359"/>
      <c r="E5" s="2360"/>
      <c r="F5" s="2477" t="s">
        <v>42</v>
      </c>
      <c r="G5" s="2359"/>
      <c r="H5" s="2359"/>
      <c r="I5" s="2360"/>
      <c r="J5" s="2477" t="s">
        <v>1817</v>
      </c>
      <c r="K5" s="2359"/>
      <c r="L5" s="2360"/>
      <c r="M5" s="2435" t="s">
        <v>790</v>
      </c>
      <c r="N5" s="2436"/>
      <c r="O5" s="2437" t="s">
        <v>788</v>
      </c>
      <c r="P5" s="2438"/>
      <c r="Q5" s="2437" t="s">
        <v>789</v>
      </c>
      <c r="R5" s="2438"/>
    </row>
    <row r="6" spans="1:18" s="739" customFormat="1" ht="25.5" customHeight="1" thickBot="1">
      <c r="A6" s="2483"/>
      <c r="B6" s="2476"/>
      <c r="C6" s="858" t="s">
        <v>606</v>
      </c>
      <c r="D6" s="740" t="s">
        <v>1039</v>
      </c>
      <c r="E6" s="859" t="s">
        <v>43</v>
      </c>
      <c r="F6" s="858" t="s">
        <v>1040</v>
      </c>
      <c r="G6" s="741" t="s">
        <v>1041</v>
      </c>
      <c r="H6" s="741" t="s">
        <v>1042</v>
      </c>
      <c r="I6" s="859" t="s">
        <v>1045</v>
      </c>
      <c r="J6" s="858" t="s">
        <v>606</v>
      </c>
      <c r="K6" s="740" t="s">
        <v>42</v>
      </c>
      <c r="L6" s="859" t="s">
        <v>43</v>
      </c>
      <c r="M6" s="1255" t="s">
        <v>603</v>
      </c>
      <c r="N6" s="1331" t="s">
        <v>922</v>
      </c>
      <c r="O6" s="1336" t="s">
        <v>603</v>
      </c>
      <c r="P6" s="1257" t="s">
        <v>922</v>
      </c>
      <c r="Q6" s="1336" t="s">
        <v>603</v>
      </c>
      <c r="R6" s="1257" t="s">
        <v>922</v>
      </c>
    </row>
    <row r="7" spans="1:18" s="744" customFormat="1" ht="19.5" customHeight="1" hidden="1">
      <c r="A7" s="895"/>
      <c r="B7" s="910"/>
      <c r="C7" s="917"/>
      <c r="D7" s="748"/>
      <c r="E7" s="870">
        <f aca="true" t="shared" si="0" ref="E7:E35">C7-D7</f>
        <v>0</v>
      </c>
      <c r="F7" s="917"/>
      <c r="G7" s="749"/>
      <c r="H7" s="749"/>
      <c r="I7" s="920"/>
      <c r="J7" s="917"/>
      <c r="K7" s="750">
        <f>D7+F7-G7-H7+I7</f>
        <v>0</v>
      </c>
      <c r="L7" s="870">
        <f aca="true" t="shared" si="1" ref="L7:L35">J7-K7</f>
        <v>0</v>
      </c>
      <c r="M7" s="1320"/>
      <c r="N7" s="1332"/>
      <c r="O7" s="1337"/>
      <c r="P7" s="1321"/>
      <c r="Q7" s="1337"/>
      <c r="R7" s="1321"/>
    </row>
    <row r="8" spans="1:18" s="744" customFormat="1" ht="19.5" customHeight="1">
      <c r="A8" s="896"/>
      <c r="B8" s="911"/>
      <c r="C8" s="918"/>
      <c r="D8" s="751"/>
      <c r="E8" s="897">
        <f t="shared" si="0"/>
        <v>0</v>
      </c>
      <c r="F8" s="918"/>
      <c r="G8" s="752"/>
      <c r="H8" s="752"/>
      <c r="I8" s="921"/>
      <c r="J8" s="918"/>
      <c r="K8" s="753">
        <f aca="true" t="shared" si="2" ref="K8:K35">D8+F8-G8-H8+I8</f>
        <v>0</v>
      </c>
      <c r="L8" s="897">
        <f t="shared" si="1"/>
        <v>0</v>
      </c>
      <c r="M8" s="1322"/>
      <c r="N8" s="1333"/>
      <c r="O8" s="1338"/>
      <c r="P8" s="1323"/>
      <c r="Q8" s="1338"/>
      <c r="R8" s="1323"/>
    </row>
    <row r="9" spans="1:18" s="744" customFormat="1" ht="19.5" customHeight="1">
      <c r="A9" s="898"/>
      <c r="B9" s="912"/>
      <c r="C9" s="919"/>
      <c r="D9" s="751"/>
      <c r="E9" s="897">
        <f>C9-D9</f>
        <v>0</v>
      </c>
      <c r="F9" s="918"/>
      <c r="G9" s="752"/>
      <c r="H9" s="752"/>
      <c r="I9" s="921"/>
      <c r="J9" s="918"/>
      <c r="K9" s="753">
        <f>D9+F9-G9-H9+I9</f>
        <v>0</v>
      </c>
      <c r="L9" s="897">
        <f>J9-K9</f>
        <v>0</v>
      </c>
      <c r="M9" s="1322"/>
      <c r="N9" s="1333"/>
      <c r="O9" s="1338"/>
      <c r="P9" s="1323"/>
      <c r="Q9" s="1338"/>
      <c r="R9" s="1323"/>
    </row>
    <row r="10" spans="1:18" s="744" customFormat="1" ht="19.5" customHeight="1" thickBot="1">
      <c r="A10" s="898"/>
      <c r="B10" s="912"/>
      <c r="C10" s="919"/>
      <c r="D10" s="754"/>
      <c r="E10" s="899">
        <f t="shared" si="0"/>
        <v>0</v>
      </c>
      <c r="F10" s="919"/>
      <c r="G10" s="755"/>
      <c r="H10" s="755"/>
      <c r="I10" s="922"/>
      <c r="J10" s="919"/>
      <c r="K10" s="756">
        <f t="shared" si="2"/>
        <v>0</v>
      </c>
      <c r="L10" s="899">
        <f t="shared" si="1"/>
        <v>0</v>
      </c>
      <c r="M10" s="1324"/>
      <c r="N10" s="1334"/>
      <c r="O10" s="1339"/>
      <c r="P10" s="1325"/>
      <c r="Q10" s="1339"/>
      <c r="R10" s="1325"/>
    </row>
    <row r="11" spans="1:18" s="744" customFormat="1" ht="19.5" customHeight="1" thickBot="1">
      <c r="A11" s="2480" t="s">
        <v>213</v>
      </c>
      <c r="B11" s="2481"/>
      <c r="C11" s="909">
        <f>SUM(C7:C10)</f>
        <v>0</v>
      </c>
      <c r="D11" s="906">
        <f>SUM(D7:D10)</f>
        <v>0</v>
      </c>
      <c r="E11" s="862">
        <f t="shared" si="0"/>
        <v>0</v>
      </c>
      <c r="F11" s="909">
        <f>SUM(F7:F10)</f>
        <v>0</v>
      </c>
      <c r="G11" s="907">
        <f>SUM(G7:G10)</f>
        <v>0</v>
      </c>
      <c r="H11" s="907">
        <f>SUM(H7:H10)</f>
        <v>0</v>
      </c>
      <c r="I11" s="862">
        <f>SUM(I7:I10)</f>
        <v>0</v>
      </c>
      <c r="J11" s="909">
        <f>SUM(J7:J10)</f>
        <v>0</v>
      </c>
      <c r="K11" s="865">
        <f t="shared" si="2"/>
        <v>0</v>
      </c>
      <c r="L11" s="862">
        <f t="shared" si="1"/>
        <v>0</v>
      </c>
      <c r="M11" s="1326">
        <f>ROUND(E11/1000,0)</f>
        <v>0</v>
      </c>
      <c r="N11" s="1335">
        <f>ROUND(L11/1000,0)</f>
        <v>0</v>
      </c>
      <c r="O11" s="1340"/>
      <c r="P11" s="1341"/>
      <c r="Q11" s="1330">
        <f>M11+O11</f>
        <v>0</v>
      </c>
      <c r="R11" s="1327">
        <f>N11+P11</f>
        <v>0</v>
      </c>
    </row>
    <row r="12" spans="1:18" s="744" customFormat="1" ht="19.5" customHeight="1" hidden="1">
      <c r="A12" s="900"/>
      <c r="B12" s="913"/>
      <c r="C12" s="917"/>
      <c r="D12" s="748"/>
      <c r="E12" s="870">
        <f t="shared" si="0"/>
        <v>0</v>
      </c>
      <c r="F12" s="917"/>
      <c r="G12" s="749"/>
      <c r="H12" s="749"/>
      <c r="I12" s="920"/>
      <c r="J12" s="917"/>
      <c r="K12" s="750">
        <f t="shared" si="2"/>
        <v>0</v>
      </c>
      <c r="L12" s="870">
        <f t="shared" si="1"/>
        <v>0</v>
      </c>
      <c r="M12" s="1320"/>
      <c r="N12" s="1332"/>
      <c r="O12" s="1337"/>
      <c r="P12" s="1321"/>
      <c r="Q12" s="1337"/>
      <c r="R12" s="1321"/>
    </row>
    <row r="13" spans="1:18" s="744" customFormat="1" ht="19.5" customHeight="1">
      <c r="A13" s="901"/>
      <c r="B13" s="914"/>
      <c r="C13" s="918"/>
      <c r="D13" s="751"/>
      <c r="E13" s="897">
        <f t="shared" si="0"/>
        <v>0</v>
      </c>
      <c r="F13" s="918"/>
      <c r="G13" s="752"/>
      <c r="H13" s="752"/>
      <c r="I13" s="921"/>
      <c r="J13" s="918"/>
      <c r="K13" s="753">
        <f t="shared" si="2"/>
        <v>0</v>
      </c>
      <c r="L13" s="897">
        <f t="shared" si="1"/>
        <v>0</v>
      </c>
      <c r="M13" s="1322"/>
      <c r="N13" s="1333"/>
      <c r="O13" s="1338"/>
      <c r="P13" s="1323"/>
      <c r="Q13" s="1338"/>
      <c r="R13" s="1323"/>
    </row>
    <row r="14" spans="1:18" s="744" customFormat="1" ht="19.5" customHeight="1">
      <c r="A14" s="902"/>
      <c r="B14" s="915"/>
      <c r="C14" s="919"/>
      <c r="D14" s="751"/>
      <c r="E14" s="897">
        <f>C14-D14</f>
        <v>0</v>
      </c>
      <c r="F14" s="918"/>
      <c r="G14" s="752"/>
      <c r="H14" s="752"/>
      <c r="I14" s="921"/>
      <c r="J14" s="918"/>
      <c r="K14" s="753">
        <f>D14+F14-G14-H14+I14</f>
        <v>0</v>
      </c>
      <c r="L14" s="897">
        <f>J14-K14</f>
        <v>0</v>
      </c>
      <c r="M14" s="1322"/>
      <c r="N14" s="1333"/>
      <c r="O14" s="1338"/>
      <c r="P14" s="1323"/>
      <c r="Q14" s="1338"/>
      <c r="R14" s="1323"/>
    </row>
    <row r="15" spans="1:18" s="744" customFormat="1" ht="19.5" customHeight="1" thickBot="1">
      <c r="A15" s="902"/>
      <c r="B15" s="915"/>
      <c r="C15" s="919"/>
      <c r="D15" s="754"/>
      <c r="E15" s="899">
        <f t="shared" si="0"/>
        <v>0</v>
      </c>
      <c r="F15" s="919"/>
      <c r="G15" s="755"/>
      <c r="H15" s="755"/>
      <c r="I15" s="922"/>
      <c r="J15" s="919"/>
      <c r="K15" s="756">
        <f t="shared" si="2"/>
        <v>0</v>
      </c>
      <c r="L15" s="899">
        <f t="shared" si="1"/>
        <v>0</v>
      </c>
      <c r="M15" s="1324"/>
      <c r="N15" s="1334"/>
      <c r="O15" s="1339"/>
      <c r="P15" s="1325"/>
      <c r="Q15" s="1339"/>
      <c r="R15" s="1325"/>
    </row>
    <row r="16" spans="1:18" s="744" customFormat="1" ht="19.5" customHeight="1" thickBot="1">
      <c r="A16" s="2335" t="s">
        <v>214</v>
      </c>
      <c r="B16" s="2370"/>
      <c r="C16" s="909">
        <f>SUM(C12:C15)</f>
        <v>0</v>
      </c>
      <c r="D16" s="906">
        <f>SUM(D12:D15)</f>
        <v>0</v>
      </c>
      <c r="E16" s="862">
        <f>C16-D16</f>
        <v>0</v>
      </c>
      <c r="F16" s="909">
        <f>SUM(F12:F15)</f>
        <v>0</v>
      </c>
      <c r="G16" s="907">
        <f>SUM(G12:G15)</f>
        <v>0</v>
      </c>
      <c r="H16" s="907">
        <f>SUM(H12:H15)</f>
        <v>0</v>
      </c>
      <c r="I16" s="862">
        <f>SUM(I12:I15)</f>
        <v>0</v>
      </c>
      <c r="J16" s="909">
        <f>SUM(J12:J15)</f>
        <v>0</v>
      </c>
      <c r="K16" s="865">
        <f>D16+F16-G16-H16+I16</f>
        <v>0</v>
      </c>
      <c r="L16" s="862">
        <f>J16-K16</f>
        <v>0</v>
      </c>
      <c r="M16" s="1326">
        <f>ROUND(E16/1000,0)</f>
        <v>0</v>
      </c>
      <c r="N16" s="1335">
        <f>ROUND(L16/1000,0)</f>
        <v>0</v>
      </c>
      <c r="O16" s="1340"/>
      <c r="P16" s="1341"/>
      <c r="Q16" s="1330">
        <f>M16+O16</f>
        <v>0</v>
      </c>
      <c r="R16" s="1327">
        <f>N16+P16</f>
        <v>0</v>
      </c>
    </row>
    <row r="17" spans="1:18" s="744" customFormat="1" ht="19.5" customHeight="1" hidden="1">
      <c r="A17" s="903"/>
      <c r="B17" s="916"/>
      <c r="C17" s="917"/>
      <c r="D17" s="748"/>
      <c r="E17" s="870">
        <f t="shared" si="0"/>
        <v>0</v>
      </c>
      <c r="F17" s="917"/>
      <c r="G17" s="749"/>
      <c r="H17" s="749"/>
      <c r="I17" s="920"/>
      <c r="J17" s="917"/>
      <c r="K17" s="750">
        <f t="shared" si="2"/>
        <v>0</v>
      </c>
      <c r="L17" s="870">
        <f t="shared" si="1"/>
        <v>0</v>
      </c>
      <c r="M17" s="1320"/>
      <c r="N17" s="1332"/>
      <c r="O17" s="1337"/>
      <c r="P17" s="1321"/>
      <c r="Q17" s="1337"/>
      <c r="R17" s="1321"/>
    </row>
    <row r="18" spans="1:18" s="744" customFormat="1" ht="19.5" customHeight="1">
      <c r="A18" s="896"/>
      <c r="B18" s="911"/>
      <c r="C18" s="918"/>
      <c r="D18" s="751"/>
      <c r="E18" s="897">
        <f t="shared" si="0"/>
        <v>0</v>
      </c>
      <c r="F18" s="918"/>
      <c r="G18" s="752"/>
      <c r="H18" s="752"/>
      <c r="I18" s="921"/>
      <c r="J18" s="918"/>
      <c r="K18" s="753">
        <f t="shared" si="2"/>
        <v>0</v>
      </c>
      <c r="L18" s="897">
        <f t="shared" si="1"/>
        <v>0</v>
      </c>
      <c r="M18" s="1322"/>
      <c r="N18" s="1333"/>
      <c r="O18" s="1338"/>
      <c r="P18" s="1323"/>
      <c r="Q18" s="1338"/>
      <c r="R18" s="1323"/>
    </row>
    <row r="19" spans="1:18" s="744" customFormat="1" ht="19.5" customHeight="1">
      <c r="A19" s="898"/>
      <c r="B19" s="912"/>
      <c r="C19" s="919"/>
      <c r="D19" s="751"/>
      <c r="E19" s="897">
        <f>C19-D19</f>
        <v>0</v>
      </c>
      <c r="F19" s="918"/>
      <c r="G19" s="752"/>
      <c r="H19" s="752"/>
      <c r="I19" s="921"/>
      <c r="J19" s="918"/>
      <c r="K19" s="753">
        <f>D19+F19-G19-H19+I19</f>
        <v>0</v>
      </c>
      <c r="L19" s="897">
        <f>J19-K19</f>
        <v>0</v>
      </c>
      <c r="M19" s="1322"/>
      <c r="N19" s="1333"/>
      <c r="O19" s="1338"/>
      <c r="P19" s="1323"/>
      <c r="Q19" s="1338"/>
      <c r="R19" s="1323"/>
    </row>
    <row r="20" spans="1:18" s="744" customFormat="1" ht="19.5" customHeight="1" thickBot="1">
      <c r="A20" s="898"/>
      <c r="B20" s="912"/>
      <c r="C20" s="919"/>
      <c r="D20" s="754"/>
      <c r="E20" s="899">
        <f t="shared" si="0"/>
        <v>0</v>
      </c>
      <c r="F20" s="919"/>
      <c r="G20" s="755"/>
      <c r="H20" s="755"/>
      <c r="I20" s="922"/>
      <c r="J20" s="919"/>
      <c r="K20" s="756">
        <f t="shared" si="2"/>
        <v>0</v>
      </c>
      <c r="L20" s="899">
        <f t="shared" si="1"/>
        <v>0</v>
      </c>
      <c r="M20" s="1324"/>
      <c r="N20" s="1334"/>
      <c r="O20" s="1339"/>
      <c r="P20" s="1325"/>
      <c r="Q20" s="1339"/>
      <c r="R20" s="1325"/>
    </row>
    <row r="21" spans="1:18" s="744" customFormat="1" ht="19.5" customHeight="1" thickBot="1">
      <c r="A21" s="2335" t="s">
        <v>1043</v>
      </c>
      <c r="B21" s="2370"/>
      <c r="C21" s="909">
        <f>SUM(C17:C20)</f>
        <v>0</v>
      </c>
      <c r="D21" s="906">
        <f>SUM(D17:D20)</f>
        <v>0</v>
      </c>
      <c r="E21" s="862">
        <f>C21-D21</f>
        <v>0</v>
      </c>
      <c r="F21" s="909">
        <f>SUM(F17:F20)</f>
        <v>0</v>
      </c>
      <c r="G21" s="907">
        <f>SUM(G17:G20)</f>
        <v>0</v>
      </c>
      <c r="H21" s="907">
        <f>SUM(H17:H20)</f>
        <v>0</v>
      </c>
      <c r="I21" s="862">
        <f>SUM(I17:I20)</f>
        <v>0</v>
      </c>
      <c r="J21" s="909">
        <f>SUM(J17:J20)</f>
        <v>0</v>
      </c>
      <c r="K21" s="865">
        <f>D21+F21-G21-H21+I21</f>
        <v>0</v>
      </c>
      <c r="L21" s="862">
        <f>J21-K21</f>
        <v>0</v>
      </c>
      <c r="M21" s="1326">
        <f>ROUND(E21/1000,0)</f>
        <v>0</v>
      </c>
      <c r="N21" s="1335">
        <f>ROUND(L21/1000,0)</f>
        <v>0</v>
      </c>
      <c r="O21" s="1340"/>
      <c r="P21" s="1341"/>
      <c r="Q21" s="1330">
        <f>M21+O21</f>
        <v>0</v>
      </c>
      <c r="R21" s="1327">
        <f>N21+P21</f>
        <v>0</v>
      </c>
    </row>
    <row r="22" spans="1:18" s="744" customFormat="1" ht="19.5" customHeight="1" hidden="1">
      <c r="A22" s="900"/>
      <c r="B22" s="913"/>
      <c r="C22" s="917"/>
      <c r="D22" s="748"/>
      <c r="E22" s="870">
        <f t="shared" si="0"/>
        <v>0</v>
      </c>
      <c r="F22" s="917"/>
      <c r="G22" s="749"/>
      <c r="H22" s="749"/>
      <c r="I22" s="920"/>
      <c r="J22" s="917"/>
      <c r="K22" s="750">
        <f t="shared" si="2"/>
        <v>0</v>
      </c>
      <c r="L22" s="870">
        <f t="shared" si="1"/>
        <v>0</v>
      </c>
      <c r="M22" s="1320"/>
      <c r="N22" s="1332"/>
      <c r="O22" s="1337"/>
      <c r="P22" s="1321"/>
      <c r="Q22" s="1337"/>
      <c r="R22" s="1321"/>
    </row>
    <row r="23" spans="1:18" s="744" customFormat="1" ht="19.5" customHeight="1">
      <c r="A23" s="901"/>
      <c r="B23" s="914"/>
      <c r="C23" s="918"/>
      <c r="D23" s="751"/>
      <c r="E23" s="897">
        <f t="shared" si="0"/>
        <v>0</v>
      </c>
      <c r="F23" s="918"/>
      <c r="G23" s="752"/>
      <c r="H23" s="752"/>
      <c r="I23" s="921"/>
      <c r="J23" s="918"/>
      <c r="K23" s="753">
        <f t="shared" si="2"/>
        <v>0</v>
      </c>
      <c r="L23" s="897">
        <f t="shared" si="1"/>
        <v>0</v>
      </c>
      <c r="M23" s="1322"/>
      <c r="N23" s="1333"/>
      <c r="O23" s="1338"/>
      <c r="P23" s="1323"/>
      <c r="Q23" s="1338"/>
      <c r="R23" s="1323"/>
    </row>
    <row r="24" spans="1:18" s="744" customFormat="1" ht="19.5" customHeight="1">
      <c r="A24" s="902"/>
      <c r="B24" s="915"/>
      <c r="C24" s="919"/>
      <c r="D24" s="751"/>
      <c r="E24" s="897">
        <f>C24-D24</f>
        <v>0</v>
      </c>
      <c r="F24" s="918"/>
      <c r="G24" s="752"/>
      <c r="H24" s="752"/>
      <c r="I24" s="921"/>
      <c r="J24" s="918"/>
      <c r="K24" s="753">
        <f>D24+F24-G24-H24+I24</f>
        <v>0</v>
      </c>
      <c r="L24" s="897">
        <f>J24-K24</f>
        <v>0</v>
      </c>
      <c r="M24" s="1322"/>
      <c r="N24" s="1333"/>
      <c r="O24" s="1338"/>
      <c r="P24" s="1323"/>
      <c r="Q24" s="1338"/>
      <c r="R24" s="1323"/>
    </row>
    <row r="25" spans="1:18" s="744" customFormat="1" ht="19.5" customHeight="1" thickBot="1">
      <c r="A25" s="902"/>
      <c r="B25" s="915"/>
      <c r="C25" s="919"/>
      <c r="D25" s="754"/>
      <c r="E25" s="899">
        <f t="shared" si="0"/>
        <v>0</v>
      </c>
      <c r="F25" s="919"/>
      <c r="G25" s="755"/>
      <c r="H25" s="768"/>
      <c r="I25" s="922"/>
      <c r="J25" s="919"/>
      <c r="K25" s="756">
        <f t="shared" si="2"/>
        <v>0</v>
      </c>
      <c r="L25" s="899">
        <f t="shared" si="1"/>
        <v>0</v>
      </c>
      <c r="M25" s="1324"/>
      <c r="N25" s="1334"/>
      <c r="O25" s="1339"/>
      <c r="P25" s="1325"/>
      <c r="Q25" s="1339"/>
      <c r="R25" s="1325"/>
    </row>
    <row r="26" spans="1:18" s="744" customFormat="1" ht="19.5" customHeight="1" thickBot="1">
      <c r="A26" s="2335" t="s">
        <v>218</v>
      </c>
      <c r="B26" s="2370"/>
      <c r="C26" s="909">
        <f>SUM(C22:C25)</f>
        <v>0</v>
      </c>
      <c r="D26" s="906">
        <f>SUM(D22:D25)</f>
        <v>0</v>
      </c>
      <c r="E26" s="862">
        <f>C26-D26</f>
        <v>0</v>
      </c>
      <c r="F26" s="909">
        <f>SUM(F22:F25)</f>
        <v>0</v>
      </c>
      <c r="G26" s="907">
        <f>SUM(G22:G25)</f>
        <v>0</v>
      </c>
      <c r="H26" s="907">
        <f>SUM(H22:H25)</f>
        <v>0</v>
      </c>
      <c r="I26" s="862">
        <f>SUM(I22:I25)</f>
        <v>0</v>
      </c>
      <c r="J26" s="909">
        <f>SUM(J22:J25)</f>
        <v>0</v>
      </c>
      <c r="K26" s="865">
        <f>D26+F26-G26-H26+I26</f>
        <v>0</v>
      </c>
      <c r="L26" s="862">
        <f>J26-K26</f>
        <v>0</v>
      </c>
      <c r="M26" s="1326">
        <f>ROUND(E26/1000,0)</f>
        <v>0</v>
      </c>
      <c r="N26" s="1335">
        <f>ROUND(L26/1000,0)</f>
        <v>0</v>
      </c>
      <c r="O26" s="1340"/>
      <c r="P26" s="1341"/>
      <c r="Q26" s="1330">
        <f>M26+O26</f>
        <v>0</v>
      </c>
      <c r="R26" s="1327">
        <f>N26+P26</f>
        <v>0</v>
      </c>
    </row>
    <row r="27" spans="1:18" s="744" customFormat="1" ht="19.5" customHeight="1" hidden="1">
      <c r="A27" s="900"/>
      <c r="B27" s="913"/>
      <c r="C27" s="917"/>
      <c r="D27" s="748"/>
      <c r="E27" s="870">
        <f t="shared" si="0"/>
        <v>0</v>
      </c>
      <c r="F27" s="917"/>
      <c r="G27" s="749"/>
      <c r="H27" s="749"/>
      <c r="I27" s="920"/>
      <c r="J27" s="917"/>
      <c r="K27" s="750">
        <f t="shared" si="2"/>
        <v>0</v>
      </c>
      <c r="L27" s="870">
        <f t="shared" si="1"/>
        <v>0</v>
      </c>
      <c r="M27" s="1320"/>
      <c r="N27" s="1332"/>
      <c r="O27" s="1337"/>
      <c r="P27" s="1321"/>
      <c r="Q27" s="1337"/>
      <c r="R27" s="1321"/>
    </row>
    <row r="28" spans="1:18" s="744" customFormat="1" ht="19.5" customHeight="1">
      <c r="A28" s="901"/>
      <c r="B28" s="914"/>
      <c r="C28" s="918"/>
      <c r="D28" s="751"/>
      <c r="E28" s="897">
        <f t="shared" si="0"/>
        <v>0</v>
      </c>
      <c r="F28" s="918"/>
      <c r="G28" s="752"/>
      <c r="H28" s="752"/>
      <c r="I28" s="921"/>
      <c r="J28" s="918"/>
      <c r="K28" s="753">
        <f t="shared" si="2"/>
        <v>0</v>
      </c>
      <c r="L28" s="897">
        <f t="shared" si="1"/>
        <v>0</v>
      </c>
      <c r="M28" s="1322"/>
      <c r="N28" s="1333"/>
      <c r="O28" s="1338"/>
      <c r="P28" s="1323"/>
      <c r="Q28" s="1338"/>
      <c r="R28" s="1323"/>
    </row>
    <row r="29" spans="1:18" s="744" customFormat="1" ht="19.5" customHeight="1">
      <c r="A29" s="902"/>
      <c r="B29" s="915"/>
      <c r="C29" s="919"/>
      <c r="D29" s="751"/>
      <c r="E29" s="897">
        <f>C29-D29</f>
        <v>0</v>
      </c>
      <c r="F29" s="918"/>
      <c r="G29" s="752"/>
      <c r="H29" s="752"/>
      <c r="I29" s="921"/>
      <c r="J29" s="918"/>
      <c r="K29" s="753">
        <f>D29+F29-G29-H29+I29</f>
        <v>0</v>
      </c>
      <c r="L29" s="897">
        <f>J29-K29</f>
        <v>0</v>
      </c>
      <c r="M29" s="1322"/>
      <c r="N29" s="1333"/>
      <c r="O29" s="1338"/>
      <c r="P29" s="1323"/>
      <c r="Q29" s="1338"/>
      <c r="R29" s="1323"/>
    </row>
    <row r="30" spans="1:18" s="744" customFormat="1" ht="19.5" customHeight="1" thickBot="1">
      <c r="A30" s="902"/>
      <c r="B30" s="915"/>
      <c r="C30" s="919"/>
      <c r="D30" s="754"/>
      <c r="E30" s="899">
        <f t="shared" si="0"/>
        <v>0</v>
      </c>
      <c r="F30" s="919"/>
      <c r="G30" s="755"/>
      <c r="H30" s="755"/>
      <c r="I30" s="922"/>
      <c r="J30" s="919"/>
      <c r="K30" s="756">
        <f t="shared" si="2"/>
        <v>0</v>
      </c>
      <c r="L30" s="899">
        <f t="shared" si="1"/>
        <v>0</v>
      </c>
      <c r="M30" s="1324"/>
      <c r="N30" s="1334"/>
      <c r="O30" s="1339"/>
      <c r="P30" s="1325"/>
      <c r="Q30" s="1339"/>
      <c r="R30" s="1325"/>
    </row>
    <row r="31" spans="1:18" s="744" customFormat="1" ht="19.5" customHeight="1" thickBot="1">
      <c r="A31" s="2335" t="s">
        <v>219</v>
      </c>
      <c r="B31" s="2370"/>
      <c r="C31" s="909">
        <f>SUM(C27:C30)</f>
        <v>0</v>
      </c>
      <c r="D31" s="906">
        <f>SUM(D27:D30)</f>
        <v>0</v>
      </c>
      <c r="E31" s="862">
        <f>C31-D31</f>
        <v>0</v>
      </c>
      <c r="F31" s="909">
        <f>SUM(F27:F30)</f>
        <v>0</v>
      </c>
      <c r="G31" s="907">
        <f>SUM(G27:G30)</f>
        <v>0</v>
      </c>
      <c r="H31" s="907">
        <f>SUM(H27:H30)</f>
        <v>0</v>
      </c>
      <c r="I31" s="862">
        <f>SUM(I27:I30)</f>
        <v>0</v>
      </c>
      <c r="J31" s="909">
        <f>SUM(J27:J30)</f>
        <v>0</v>
      </c>
      <c r="K31" s="865">
        <f>D31+F31-G31-H31+I31</f>
        <v>0</v>
      </c>
      <c r="L31" s="862">
        <f>J31-K31</f>
        <v>0</v>
      </c>
      <c r="M31" s="1326">
        <f>ROUND(E31/1000,0)</f>
        <v>0</v>
      </c>
      <c r="N31" s="1335">
        <f>ROUND(L31/1000,0)</f>
        <v>0</v>
      </c>
      <c r="O31" s="1340"/>
      <c r="P31" s="1341"/>
      <c r="Q31" s="1330">
        <f>M31+O31</f>
        <v>0</v>
      </c>
      <c r="R31" s="1327">
        <f>N31+P31</f>
        <v>0</v>
      </c>
    </row>
    <row r="32" spans="1:18" s="744" customFormat="1" ht="19.5" customHeight="1" hidden="1">
      <c r="A32" s="928"/>
      <c r="B32" s="929"/>
      <c r="C32" s="930"/>
      <c r="D32" s="931"/>
      <c r="E32" s="932">
        <f t="shared" si="0"/>
        <v>0</v>
      </c>
      <c r="F32" s="930"/>
      <c r="G32" s="933"/>
      <c r="H32" s="933"/>
      <c r="I32" s="934"/>
      <c r="J32" s="930"/>
      <c r="K32" s="935">
        <f t="shared" si="2"/>
        <v>0</v>
      </c>
      <c r="L32" s="932">
        <f t="shared" si="1"/>
        <v>0</v>
      </c>
      <c r="M32" s="1320"/>
      <c r="N32" s="1332"/>
      <c r="O32" s="1337"/>
      <c r="P32" s="1321"/>
      <c r="Q32" s="1337"/>
      <c r="R32" s="1321"/>
    </row>
    <row r="33" spans="1:18" s="744" customFormat="1" ht="19.5" customHeight="1">
      <c r="A33" s="901"/>
      <c r="B33" s="914"/>
      <c r="C33" s="918"/>
      <c r="D33" s="751"/>
      <c r="E33" s="897">
        <f t="shared" si="0"/>
        <v>0</v>
      </c>
      <c r="F33" s="918"/>
      <c r="G33" s="752"/>
      <c r="H33" s="752"/>
      <c r="I33" s="921"/>
      <c r="J33" s="918"/>
      <c r="K33" s="753">
        <f t="shared" si="2"/>
        <v>0</v>
      </c>
      <c r="L33" s="897">
        <f t="shared" si="1"/>
        <v>0</v>
      </c>
      <c r="M33" s="1322"/>
      <c r="N33" s="1333"/>
      <c r="O33" s="1338"/>
      <c r="P33" s="1323"/>
      <c r="Q33" s="1338"/>
      <c r="R33" s="1323"/>
    </row>
    <row r="34" spans="1:18" s="744" customFormat="1" ht="19.5" customHeight="1">
      <c r="A34" s="902"/>
      <c r="B34" s="915"/>
      <c r="C34" s="919"/>
      <c r="D34" s="754"/>
      <c r="E34" s="897">
        <f>C34-D34</f>
        <v>0</v>
      </c>
      <c r="F34" s="918"/>
      <c r="G34" s="752"/>
      <c r="H34" s="752"/>
      <c r="I34" s="921"/>
      <c r="J34" s="918"/>
      <c r="K34" s="753">
        <f>D34+F34-G34-H34+I34</f>
        <v>0</v>
      </c>
      <c r="L34" s="897">
        <f>J34-K34</f>
        <v>0</v>
      </c>
      <c r="M34" s="1322"/>
      <c r="N34" s="1333"/>
      <c r="O34" s="1338"/>
      <c r="P34" s="1323"/>
      <c r="Q34" s="1338"/>
      <c r="R34" s="1323"/>
    </row>
    <row r="35" spans="1:18" s="744" customFormat="1" ht="19.5" customHeight="1" thickBot="1">
      <c r="A35" s="936"/>
      <c r="B35" s="937"/>
      <c r="C35" s="938"/>
      <c r="D35" s="939"/>
      <c r="E35" s="890">
        <f t="shared" si="0"/>
        <v>0</v>
      </c>
      <c r="F35" s="938"/>
      <c r="G35" s="940"/>
      <c r="H35" s="940"/>
      <c r="I35" s="941"/>
      <c r="J35" s="938"/>
      <c r="K35" s="894">
        <f t="shared" si="2"/>
        <v>0</v>
      </c>
      <c r="L35" s="890">
        <f t="shared" si="1"/>
        <v>0</v>
      </c>
      <c r="M35" s="1324"/>
      <c r="N35" s="1334"/>
      <c r="O35" s="1339"/>
      <c r="P35" s="1325"/>
      <c r="Q35" s="1339"/>
      <c r="R35" s="1325"/>
    </row>
    <row r="36" spans="1:18" s="744" customFormat="1" ht="19.5" customHeight="1" thickBot="1">
      <c r="A36" s="2478" t="s">
        <v>220</v>
      </c>
      <c r="B36" s="2479"/>
      <c r="C36" s="923">
        <f>SUM(C32:C35)</f>
        <v>0</v>
      </c>
      <c r="D36" s="924">
        <f>SUM(D32:D35)</f>
        <v>0</v>
      </c>
      <c r="E36" s="925">
        <f>C36-D36</f>
        <v>0</v>
      </c>
      <c r="F36" s="923">
        <f>SUM(F32:F35)</f>
        <v>0</v>
      </c>
      <c r="G36" s="926">
        <f>SUM(G32:G35)</f>
        <v>0</v>
      </c>
      <c r="H36" s="926">
        <f>SUM(H32:H35)</f>
        <v>0</v>
      </c>
      <c r="I36" s="925">
        <f>SUM(I32:I35)</f>
        <v>0</v>
      </c>
      <c r="J36" s="923">
        <f>SUM(J32:J35)</f>
        <v>0</v>
      </c>
      <c r="K36" s="927">
        <f>D36+F36-G36-H36+I36</f>
        <v>0</v>
      </c>
      <c r="L36" s="925">
        <f>J36-K36</f>
        <v>0</v>
      </c>
      <c r="M36" s="1326">
        <f>ROUND(E36/1000,0)</f>
        <v>0</v>
      </c>
      <c r="N36" s="1335">
        <f>ROUND(L36/1000,0)</f>
        <v>0</v>
      </c>
      <c r="O36" s="1340"/>
      <c r="P36" s="1341"/>
      <c r="Q36" s="1330">
        <f>M36+O36</f>
        <v>0</v>
      </c>
      <c r="R36" s="1327">
        <f>N36+P36</f>
        <v>0</v>
      </c>
    </row>
    <row r="37" spans="1:18" s="744" customFormat="1" ht="19.5" customHeight="1" thickBot="1">
      <c r="A37" s="904"/>
      <c r="B37" s="904"/>
      <c r="C37" s="905"/>
      <c r="D37" s="905"/>
      <c r="E37" s="905"/>
      <c r="F37" s="905"/>
      <c r="G37" s="905"/>
      <c r="H37" s="905"/>
      <c r="I37" s="905"/>
      <c r="J37" s="905"/>
      <c r="K37" s="905"/>
      <c r="L37" s="905"/>
      <c r="M37" s="1381"/>
      <c r="N37" s="1381"/>
      <c r="O37" s="1381"/>
      <c r="P37" s="1381"/>
      <c r="Q37" s="1381"/>
      <c r="R37" s="1381"/>
    </row>
    <row r="38" spans="1:18" s="744" customFormat="1" ht="19.5" customHeight="1" thickBot="1" thickTop="1">
      <c r="A38" s="2335" t="s">
        <v>1044</v>
      </c>
      <c r="B38" s="2370"/>
      <c r="C38" s="906">
        <f aca="true" t="shared" si="3" ref="C38:L38">SUM(C11,C16,C21,C26,C31,C36)</f>
        <v>0</v>
      </c>
      <c r="D38" s="907">
        <f t="shared" si="3"/>
        <v>0</v>
      </c>
      <c r="E38" s="908">
        <f t="shared" si="3"/>
        <v>0</v>
      </c>
      <c r="F38" s="909">
        <f t="shared" si="3"/>
        <v>0</v>
      </c>
      <c r="G38" s="907">
        <f t="shared" si="3"/>
        <v>0</v>
      </c>
      <c r="H38" s="907">
        <f t="shared" si="3"/>
        <v>0</v>
      </c>
      <c r="I38" s="862">
        <f t="shared" si="3"/>
        <v>0</v>
      </c>
      <c r="J38" s="906">
        <f t="shared" si="3"/>
        <v>0</v>
      </c>
      <c r="K38" s="907">
        <f t="shared" si="3"/>
        <v>0</v>
      </c>
      <c r="L38" s="862">
        <f t="shared" si="3"/>
        <v>0</v>
      </c>
      <c r="M38" s="1344">
        <f>SUM(M36,M31,M26,M21,M16,M11)</f>
        <v>0</v>
      </c>
      <c r="N38" s="1317">
        <f>SUM(N36,N31,N26,N21,N16,N11)</f>
        <v>0</v>
      </c>
      <c r="O38" s="1344">
        <f>SUM(O36,O31,O26,O21,O16,O11)</f>
        <v>0</v>
      </c>
      <c r="P38" s="1317">
        <f>SUM(P36,P31,P26,P21,P16,P11)</f>
        <v>0</v>
      </c>
      <c r="Q38" s="1342">
        <f>ROUND(E38/1000,0)</f>
        <v>0</v>
      </c>
      <c r="R38" s="1343">
        <f>ROUND(L38/1000,0)</f>
        <v>0</v>
      </c>
    </row>
    <row r="39" spans="17:18" ht="15.75" thickBot="1">
      <c r="Q39" s="1345" t="str">
        <f>IF(Q38-O38-M38=0,"OK",Q38-O38-M38)</f>
        <v>OK</v>
      </c>
      <c r="R39" s="1345" t="str">
        <f>IF(R38-P38-N38=0,"OK",R38-P38-N38)</f>
        <v>OK</v>
      </c>
    </row>
  </sheetData>
  <sheetProtection insertRows="0" deleteRows="0"/>
  <mergeCells count="15">
    <mergeCell ref="A36:B36"/>
    <mergeCell ref="A38:B38"/>
    <mergeCell ref="C5:E5"/>
    <mergeCell ref="F5:I5"/>
    <mergeCell ref="A26:B26"/>
    <mergeCell ref="A31:B31"/>
    <mergeCell ref="A11:B11"/>
    <mergeCell ref="A16:B16"/>
    <mergeCell ref="A21:B21"/>
    <mergeCell ref="A5:A6"/>
    <mergeCell ref="B5:B6"/>
    <mergeCell ref="M5:N5"/>
    <mergeCell ref="O5:P5"/>
    <mergeCell ref="Q5:R5"/>
    <mergeCell ref="J5:L5"/>
  </mergeCells>
  <printOptions horizontalCentered="1"/>
  <pageMargins left="0.5905511811023623" right="0.5905511811023623" top="0.5905511811023623" bottom="0.99" header="0.3937007874015748" footer="0.3937007874015748"/>
  <pageSetup horizontalDpi="600" verticalDpi="600" orientation="landscape" paperSize="9" scale="80" r:id="rId1"/>
  <headerFooter alignWithMargins="0">
    <oddFooter>&amp;L&amp;U                                                &amp;U
        vállalkozás vezetője
             (képviselője)&amp;C&amp;P/&amp;N&amp;R&amp;A</oddFooter>
  </headerFooter>
</worksheet>
</file>

<file path=xl/worksheets/sheet51.xml><?xml version="1.0" encoding="utf-8"?>
<worksheet xmlns="http://schemas.openxmlformats.org/spreadsheetml/2006/main" xmlns:r="http://schemas.openxmlformats.org/officeDocument/2006/relationships">
  <sheetPr codeName="Munka19"/>
  <dimension ref="A1:R37"/>
  <sheetViews>
    <sheetView workbookViewId="0" topLeftCell="A1">
      <pane xSplit="2" ySplit="6" topLeftCell="C7" activePane="bottomRight" state="frozen"/>
      <selection pane="topLeft" activeCell="A1" sqref="A1"/>
      <selection pane="topRight" activeCell="C1" sqref="C1"/>
      <selection pane="bottomLeft" activeCell="A6" sqref="A6"/>
      <selection pane="bottomRight" activeCell="A11" sqref="A11:IV11"/>
    </sheetView>
  </sheetViews>
  <sheetFormatPr defaultColWidth="9.00390625" defaultRowHeight="12.75"/>
  <cols>
    <col min="1" max="1" width="11.00390625" style="388" customWidth="1"/>
    <col min="2" max="2" width="22.875" style="388" customWidth="1"/>
    <col min="3" max="12" width="12.75390625" style="388" customWidth="1"/>
    <col min="13" max="16384" width="9.125" style="388" customWidth="1"/>
  </cols>
  <sheetData>
    <row r="1" spans="1:12" s="372" customFormat="1" ht="15">
      <c r="A1" s="387" t="str">
        <f>'III.A.I-II'!A1</f>
        <v>Komáromi Távhő Kft</v>
      </c>
      <c r="B1" s="470"/>
      <c r="C1" s="470"/>
      <c r="D1" s="470"/>
      <c r="L1" s="389" t="str">
        <f>'L.A.III'!O1</f>
        <v>Pénzügyi leltár 2016. december 31.Hőszolgáltatás </v>
      </c>
    </row>
    <row r="2" spans="1:12" s="372" customFormat="1" ht="15">
      <c r="A2" s="387"/>
      <c r="B2" s="470"/>
      <c r="C2" s="470"/>
      <c r="D2" s="470"/>
      <c r="L2" s="389"/>
    </row>
    <row r="3" spans="1:12" ht="16.5">
      <c r="A3" s="840" t="s">
        <v>630</v>
      </c>
      <c r="B3" s="393"/>
      <c r="C3" s="393"/>
      <c r="D3" s="393"/>
      <c r="E3" s="393"/>
      <c r="F3" s="393"/>
      <c r="G3" s="393"/>
      <c r="H3" s="393"/>
      <c r="I3" s="393"/>
      <c r="J3" s="393"/>
      <c r="K3" s="393"/>
      <c r="L3" s="393"/>
    </row>
    <row r="4" spans="1:12" ht="13.5" thickBot="1">
      <c r="A4" s="398"/>
      <c r="L4" s="746" t="str">
        <f>'L.A.III'!O4</f>
        <v>Adatok Ft-ban</v>
      </c>
    </row>
    <row r="5" spans="1:18" s="856" customFormat="1" ht="21" customHeight="1">
      <c r="A5" s="2486" t="s">
        <v>1582</v>
      </c>
      <c r="B5" s="2488" t="s">
        <v>494</v>
      </c>
      <c r="C5" s="2477" t="s">
        <v>167</v>
      </c>
      <c r="D5" s="2359"/>
      <c r="E5" s="2360"/>
      <c r="F5" s="2477" t="s">
        <v>42</v>
      </c>
      <c r="G5" s="2359"/>
      <c r="H5" s="2359"/>
      <c r="I5" s="2360"/>
      <c r="J5" s="2477" t="s">
        <v>1817</v>
      </c>
      <c r="K5" s="2359"/>
      <c r="L5" s="2360"/>
      <c r="M5" s="2437" t="s">
        <v>790</v>
      </c>
      <c r="N5" s="2438"/>
      <c r="O5" s="2437" t="s">
        <v>788</v>
      </c>
      <c r="P5" s="2438"/>
      <c r="Q5" s="2437" t="s">
        <v>789</v>
      </c>
      <c r="R5" s="2438"/>
    </row>
    <row r="6" spans="1:18" s="856" customFormat="1" ht="24.75" customHeight="1" thickBot="1">
      <c r="A6" s="2487"/>
      <c r="B6" s="2489"/>
      <c r="C6" s="858" t="s">
        <v>606</v>
      </c>
      <c r="D6" s="740" t="s">
        <v>42</v>
      </c>
      <c r="E6" s="859" t="s">
        <v>43</v>
      </c>
      <c r="F6" s="858" t="s">
        <v>1040</v>
      </c>
      <c r="G6" s="741" t="s">
        <v>1041</v>
      </c>
      <c r="H6" s="741" t="s">
        <v>1042</v>
      </c>
      <c r="I6" s="859" t="s">
        <v>1045</v>
      </c>
      <c r="J6" s="858" t="s">
        <v>606</v>
      </c>
      <c r="K6" s="740" t="s">
        <v>42</v>
      </c>
      <c r="L6" s="859" t="s">
        <v>43</v>
      </c>
      <c r="M6" s="1255" t="s">
        <v>603</v>
      </c>
      <c r="N6" s="1331" t="s">
        <v>922</v>
      </c>
      <c r="O6" s="1336" t="s">
        <v>603</v>
      </c>
      <c r="P6" s="1257" t="s">
        <v>922</v>
      </c>
      <c r="Q6" s="1336" t="s">
        <v>603</v>
      </c>
      <c r="R6" s="1257" t="s">
        <v>922</v>
      </c>
    </row>
    <row r="7" spans="1:18" s="857" customFormat="1" ht="19.5" customHeight="1" hidden="1">
      <c r="A7" s="866"/>
      <c r="B7" s="867"/>
      <c r="C7" s="868"/>
      <c r="D7" s="869"/>
      <c r="E7" s="870">
        <f>C7-D7</f>
        <v>0</v>
      </c>
      <c r="F7" s="868"/>
      <c r="G7" s="871"/>
      <c r="H7" s="871"/>
      <c r="I7" s="872"/>
      <c r="J7" s="868"/>
      <c r="K7" s="750">
        <f aca="true" t="shared" si="0" ref="K7:K12">D7+F7-G7+H7+I7</f>
        <v>0</v>
      </c>
      <c r="L7" s="870">
        <f aca="true" t="shared" si="1" ref="L7:L12">J7-K7</f>
        <v>0</v>
      </c>
      <c r="M7" s="1394"/>
      <c r="N7" s="1393"/>
      <c r="O7" s="1392"/>
      <c r="P7" s="1393"/>
      <c r="Q7" s="1392"/>
      <c r="R7" s="1393"/>
    </row>
    <row r="8" spans="1:18" s="857" customFormat="1" ht="19.5" customHeight="1">
      <c r="A8" s="866"/>
      <c r="B8" s="867"/>
      <c r="C8" s="868"/>
      <c r="D8" s="869"/>
      <c r="E8" s="870">
        <f>C8-D8</f>
        <v>0</v>
      </c>
      <c r="F8" s="868"/>
      <c r="G8" s="871"/>
      <c r="H8" s="871"/>
      <c r="I8" s="872"/>
      <c r="J8" s="868"/>
      <c r="K8" s="750">
        <f t="shared" si="0"/>
        <v>0</v>
      </c>
      <c r="L8" s="870">
        <f t="shared" si="1"/>
        <v>0</v>
      </c>
      <c r="M8" s="1333"/>
      <c r="N8" s="1323"/>
      <c r="O8" s="1338"/>
      <c r="P8" s="1323"/>
      <c r="Q8" s="1338"/>
      <c r="R8" s="1323"/>
    </row>
    <row r="9" spans="1:18" s="857" customFormat="1" ht="19.5" customHeight="1">
      <c r="A9" s="879"/>
      <c r="B9" s="880"/>
      <c r="C9" s="881"/>
      <c r="D9" s="882"/>
      <c r="E9" s="897">
        <f>C9-D9</f>
        <v>0</v>
      </c>
      <c r="F9" s="881"/>
      <c r="G9" s="883"/>
      <c r="H9" s="883"/>
      <c r="I9" s="884"/>
      <c r="J9" s="881"/>
      <c r="K9" s="753">
        <f t="shared" si="0"/>
        <v>0</v>
      </c>
      <c r="L9" s="897">
        <f t="shared" si="1"/>
        <v>0</v>
      </c>
      <c r="M9" s="1333"/>
      <c r="N9" s="1323"/>
      <c r="O9" s="1338"/>
      <c r="P9" s="1323"/>
      <c r="Q9" s="1338"/>
      <c r="R9" s="1323"/>
    </row>
    <row r="10" spans="1:18" s="857" customFormat="1" ht="19.5" customHeight="1" thickBot="1">
      <c r="A10" s="886"/>
      <c r="B10" s="887"/>
      <c r="C10" s="888"/>
      <c r="D10" s="889"/>
      <c r="E10" s="890">
        <f>C10-D10</f>
        <v>0</v>
      </c>
      <c r="F10" s="888"/>
      <c r="G10" s="891"/>
      <c r="H10" s="891"/>
      <c r="I10" s="892"/>
      <c r="J10" s="888"/>
      <c r="K10" s="894">
        <f t="shared" si="0"/>
        <v>0</v>
      </c>
      <c r="L10" s="890">
        <f t="shared" si="1"/>
        <v>0</v>
      </c>
      <c r="M10" s="1334"/>
      <c r="N10" s="1325"/>
      <c r="O10" s="1339"/>
      <c r="P10" s="1325"/>
      <c r="Q10" s="1339"/>
      <c r="R10" s="1325"/>
    </row>
    <row r="11" spans="1:18" s="857" customFormat="1" ht="19.5" customHeight="1" thickBot="1">
      <c r="A11" s="2333" t="s">
        <v>508</v>
      </c>
      <c r="B11" s="2334"/>
      <c r="C11" s="874">
        <f aca="true" t="shared" si="2" ref="C11:J11">SUM(C7:C10)</f>
        <v>0</v>
      </c>
      <c r="D11" s="875">
        <f t="shared" si="2"/>
        <v>0</v>
      </c>
      <c r="E11" s="876">
        <f t="shared" si="2"/>
        <v>0</v>
      </c>
      <c r="F11" s="874">
        <f t="shared" si="2"/>
        <v>0</v>
      </c>
      <c r="G11" s="877">
        <f t="shared" si="2"/>
        <v>0</v>
      </c>
      <c r="H11" s="877">
        <f t="shared" si="2"/>
        <v>0</v>
      </c>
      <c r="I11" s="876">
        <f t="shared" si="2"/>
        <v>0</v>
      </c>
      <c r="J11" s="874">
        <f t="shared" si="2"/>
        <v>0</v>
      </c>
      <c r="K11" s="875">
        <f t="shared" si="0"/>
        <v>0</v>
      </c>
      <c r="L11" s="876">
        <f t="shared" si="1"/>
        <v>0</v>
      </c>
      <c r="M11" s="1326">
        <f>ROUND(E11/1000,0)</f>
        <v>0</v>
      </c>
      <c r="N11" s="1335">
        <f>ROUND(L11/1000,0)</f>
        <v>0</v>
      </c>
      <c r="O11" s="1340"/>
      <c r="P11" s="1341"/>
      <c r="Q11" s="1330">
        <f>M11+O11</f>
        <v>0</v>
      </c>
      <c r="R11" s="1327">
        <f>N11+P11</f>
        <v>0</v>
      </c>
    </row>
    <row r="12" spans="1:18" s="857" customFormat="1" ht="19.5" customHeight="1" hidden="1" thickBot="1">
      <c r="A12" s="2333" t="s">
        <v>1585</v>
      </c>
      <c r="B12" s="2334"/>
      <c r="C12" s="860"/>
      <c r="D12" s="861"/>
      <c r="E12" s="862">
        <f aca="true" t="shared" si="3" ref="E12:E33">C12-D12</f>
        <v>0</v>
      </c>
      <c r="F12" s="860"/>
      <c r="G12" s="863"/>
      <c r="H12" s="863"/>
      <c r="I12" s="864"/>
      <c r="J12" s="860"/>
      <c r="K12" s="865">
        <f t="shared" si="0"/>
        <v>0</v>
      </c>
      <c r="L12" s="862">
        <f t="shared" si="1"/>
        <v>0</v>
      </c>
      <c r="M12" s="1326">
        <f>ROUND(E12/1000,0)</f>
        <v>0</v>
      </c>
      <c r="N12" s="1335">
        <f>ROUND(L12/1000,0)</f>
        <v>0</v>
      </c>
      <c r="O12" s="1340"/>
      <c r="P12" s="1341"/>
      <c r="Q12" s="1330">
        <f>M12+O12</f>
        <v>0</v>
      </c>
      <c r="R12" s="1327">
        <f>N12+P12</f>
        <v>0</v>
      </c>
    </row>
    <row r="13" spans="1:18" s="857" customFormat="1" ht="19.5" customHeight="1">
      <c r="A13" s="866"/>
      <c r="B13" s="867"/>
      <c r="C13" s="868"/>
      <c r="D13" s="869"/>
      <c r="E13" s="870">
        <f t="shared" si="3"/>
        <v>0</v>
      </c>
      <c r="F13" s="868"/>
      <c r="G13" s="871"/>
      <c r="H13" s="871"/>
      <c r="I13" s="872"/>
      <c r="J13" s="868"/>
      <c r="K13" s="750">
        <f aca="true" t="shared" si="4" ref="K13:K34">D13+F13-G13+H13+I13</f>
        <v>0</v>
      </c>
      <c r="L13" s="870">
        <f aca="true" t="shared" si="5" ref="L13:L34">J13-K13</f>
        <v>0</v>
      </c>
      <c r="M13" s="1394"/>
      <c r="N13" s="1393"/>
      <c r="O13" s="1392"/>
      <c r="P13" s="1393"/>
      <c r="Q13" s="1392"/>
      <c r="R13" s="1393"/>
    </row>
    <row r="14" spans="1:18" s="857" customFormat="1" ht="19.5" customHeight="1">
      <c r="A14" s="879"/>
      <c r="B14" s="880"/>
      <c r="C14" s="881"/>
      <c r="D14" s="882"/>
      <c r="E14" s="897">
        <f t="shared" si="3"/>
        <v>0</v>
      </c>
      <c r="F14" s="881"/>
      <c r="G14" s="883"/>
      <c r="H14" s="883"/>
      <c r="I14" s="884"/>
      <c r="J14" s="881"/>
      <c r="K14" s="753">
        <f t="shared" si="4"/>
        <v>0</v>
      </c>
      <c r="L14" s="897">
        <f t="shared" si="5"/>
        <v>0</v>
      </c>
      <c r="M14" s="1333"/>
      <c r="N14" s="1323"/>
      <c r="O14" s="1338"/>
      <c r="P14" s="1323"/>
      <c r="Q14" s="1338"/>
      <c r="R14" s="1323"/>
    </row>
    <row r="15" spans="1:18" s="857" customFormat="1" ht="19.5" customHeight="1">
      <c r="A15" s="879"/>
      <c r="B15" s="880"/>
      <c r="C15" s="881"/>
      <c r="D15" s="882"/>
      <c r="E15" s="897">
        <f>C15-D15</f>
        <v>0</v>
      </c>
      <c r="F15" s="881"/>
      <c r="G15" s="883"/>
      <c r="H15" s="883"/>
      <c r="I15" s="884"/>
      <c r="J15" s="881"/>
      <c r="K15" s="753">
        <f>D15+F15-G15+H15+I15</f>
        <v>0</v>
      </c>
      <c r="L15" s="897">
        <f>J15-K15</f>
        <v>0</v>
      </c>
      <c r="M15" s="1333"/>
      <c r="N15" s="1323"/>
      <c r="O15" s="1338"/>
      <c r="P15" s="1323"/>
      <c r="Q15" s="1338"/>
      <c r="R15" s="1323"/>
    </row>
    <row r="16" spans="1:18" s="857" customFormat="1" ht="19.5" customHeight="1" thickBot="1">
      <c r="A16" s="886"/>
      <c r="B16" s="887"/>
      <c r="C16" s="888"/>
      <c r="D16" s="889"/>
      <c r="E16" s="890">
        <f t="shared" si="3"/>
        <v>0</v>
      </c>
      <c r="F16" s="888"/>
      <c r="G16" s="891"/>
      <c r="H16" s="891"/>
      <c r="I16" s="892"/>
      <c r="J16" s="888"/>
      <c r="K16" s="894">
        <f t="shared" si="4"/>
        <v>0</v>
      </c>
      <c r="L16" s="890">
        <f t="shared" si="5"/>
        <v>0</v>
      </c>
      <c r="M16" s="1334"/>
      <c r="N16" s="1325"/>
      <c r="O16" s="1339"/>
      <c r="P16" s="1325"/>
      <c r="Q16" s="1339"/>
      <c r="R16" s="1325"/>
    </row>
    <row r="17" spans="1:18" s="857" customFormat="1" ht="24.75" customHeight="1" thickBot="1">
      <c r="A17" s="2333" t="s">
        <v>1305</v>
      </c>
      <c r="B17" s="2485"/>
      <c r="C17" s="874">
        <f aca="true" t="shared" si="6" ref="C17:J17">SUM(C13:C16)</f>
        <v>0</v>
      </c>
      <c r="D17" s="875">
        <f t="shared" si="6"/>
        <v>0</v>
      </c>
      <c r="E17" s="876">
        <f t="shared" si="6"/>
        <v>0</v>
      </c>
      <c r="F17" s="874">
        <f t="shared" si="6"/>
        <v>0</v>
      </c>
      <c r="G17" s="877">
        <f t="shared" si="6"/>
        <v>0</v>
      </c>
      <c r="H17" s="877">
        <f t="shared" si="6"/>
        <v>0</v>
      </c>
      <c r="I17" s="876">
        <f t="shared" si="6"/>
        <v>0</v>
      </c>
      <c r="J17" s="874">
        <f t="shared" si="6"/>
        <v>0</v>
      </c>
      <c r="K17" s="875">
        <f t="shared" si="4"/>
        <v>0</v>
      </c>
      <c r="L17" s="876">
        <f t="shared" si="5"/>
        <v>0</v>
      </c>
      <c r="M17" s="1326">
        <f>ROUND(E17/1000,0)</f>
        <v>0</v>
      </c>
      <c r="N17" s="1335">
        <f>ROUND(L17/1000,0)</f>
        <v>0</v>
      </c>
      <c r="O17" s="1340"/>
      <c r="P17" s="1341"/>
      <c r="Q17" s="1330">
        <f>M17+O17</f>
        <v>0</v>
      </c>
      <c r="R17" s="1327">
        <f>N17+P17</f>
        <v>0</v>
      </c>
    </row>
    <row r="18" spans="1:18" s="857" customFormat="1" ht="19.5" customHeight="1" hidden="1">
      <c r="A18" s="866"/>
      <c r="B18" s="867"/>
      <c r="C18" s="868"/>
      <c r="D18" s="869"/>
      <c r="E18" s="870">
        <f t="shared" si="3"/>
        <v>0</v>
      </c>
      <c r="F18" s="868"/>
      <c r="G18" s="871"/>
      <c r="H18" s="871"/>
      <c r="I18" s="872"/>
      <c r="J18" s="868"/>
      <c r="K18" s="750">
        <f t="shared" si="4"/>
        <v>0</v>
      </c>
      <c r="L18" s="870">
        <f t="shared" si="5"/>
        <v>0</v>
      </c>
      <c r="M18" s="1332"/>
      <c r="N18" s="1332"/>
      <c r="O18" s="1337"/>
      <c r="P18" s="1321"/>
      <c r="Q18" s="1337"/>
      <c r="R18" s="1321"/>
    </row>
    <row r="19" spans="1:18" s="857" customFormat="1" ht="19.5" customHeight="1">
      <c r="A19" s="866"/>
      <c r="B19" s="867"/>
      <c r="C19" s="868"/>
      <c r="D19" s="869"/>
      <c r="E19" s="870">
        <f t="shared" si="3"/>
        <v>0</v>
      </c>
      <c r="F19" s="868"/>
      <c r="G19" s="871"/>
      <c r="H19" s="871"/>
      <c r="I19" s="872"/>
      <c r="J19" s="868"/>
      <c r="K19" s="750"/>
      <c r="L19" s="870">
        <f t="shared" si="5"/>
        <v>0</v>
      </c>
      <c r="M19" s="1333"/>
      <c r="N19" s="1333"/>
      <c r="O19" s="1338"/>
      <c r="P19" s="1323"/>
      <c r="Q19" s="1338"/>
      <c r="R19" s="1323"/>
    </row>
    <row r="20" spans="1:18" s="857" customFormat="1" ht="19.5" customHeight="1">
      <c r="A20" s="879"/>
      <c r="B20" s="880"/>
      <c r="C20" s="881"/>
      <c r="D20" s="882"/>
      <c r="E20" s="897">
        <f t="shared" si="3"/>
        <v>0</v>
      </c>
      <c r="F20" s="881"/>
      <c r="G20" s="883"/>
      <c r="H20" s="883"/>
      <c r="I20" s="884"/>
      <c r="J20" s="881"/>
      <c r="K20" s="753"/>
      <c r="L20" s="897">
        <f t="shared" si="5"/>
        <v>0</v>
      </c>
      <c r="M20" s="1333"/>
      <c r="N20" s="1333"/>
      <c r="O20" s="1338"/>
      <c r="P20" s="1323"/>
      <c r="Q20" s="1338"/>
      <c r="R20" s="1323"/>
    </row>
    <row r="21" spans="1:18" s="857" customFormat="1" ht="19.5" customHeight="1">
      <c r="A21" s="879"/>
      <c r="B21" s="880"/>
      <c r="C21" s="881"/>
      <c r="D21" s="882"/>
      <c r="E21" s="897">
        <f t="shared" si="3"/>
        <v>0</v>
      </c>
      <c r="F21" s="881"/>
      <c r="G21" s="883"/>
      <c r="H21" s="883"/>
      <c r="I21" s="884"/>
      <c r="J21" s="881"/>
      <c r="K21" s="753">
        <f t="shared" si="4"/>
        <v>0</v>
      </c>
      <c r="L21" s="897">
        <f t="shared" si="5"/>
        <v>0</v>
      </c>
      <c r="M21" s="1333"/>
      <c r="N21" s="1333"/>
      <c r="O21" s="1338"/>
      <c r="P21" s="1323"/>
      <c r="Q21" s="1338"/>
      <c r="R21" s="1323"/>
    </row>
    <row r="22" spans="1:18" s="857" customFormat="1" ht="19.5" customHeight="1">
      <c r="A22" s="879"/>
      <c r="B22" s="880"/>
      <c r="C22" s="881"/>
      <c r="D22" s="882"/>
      <c r="E22" s="897">
        <f>C22-D22</f>
        <v>0</v>
      </c>
      <c r="F22" s="881"/>
      <c r="G22" s="883"/>
      <c r="H22" s="883"/>
      <c r="I22" s="884"/>
      <c r="J22" s="881"/>
      <c r="K22" s="753">
        <f>D22+F22-G22+H22+I22</f>
        <v>0</v>
      </c>
      <c r="L22" s="897">
        <f>J22-K22</f>
        <v>0</v>
      </c>
      <c r="M22" s="1333"/>
      <c r="N22" s="1333"/>
      <c r="O22" s="1338"/>
      <c r="P22" s="1323"/>
      <c r="Q22" s="1338"/>
      <c r="R22" s="1323"/>
    </row>
    <row r="23" spans="1:18" s="857" customFormat="1" ht="19.5" customHeight="1" thickBot="1">
      <c r="A23" s="886"/>
      <c r="B23" s="887"/>
      <c r="C23" s="888"/>
      <c r="D23" s="889"/>
      <c r="E23" s="890">
        <f t="shared" si="3"/>
        <v>0</v>
      </c>
      <c r="F23" s="888"/>
      <c r="G23" s="891"/>
      <c r="H23" s="891"/>
      <c r="I23" s="892"/>
      <c r="J23" s="888"/>
      <c r="K23" s="894">
        <f t="shared" si="4"/>
        <v>0</v>
      </c>
      <c r="L23" s="890">
        <f t="shared" si="5"/>
        <v>0</v>
      </c>
      <c r="M23" s="1334"/>
      <c r="N23" s="1334"/>
      <c r="O23" s="1339"/>
      <c r="P23" s="1325"/>
      <c r="Q23" s="1339"/>
      <c r="R23" s="1325"/>
    </row>
    <row r="24" spans="1:18" s="857" customFormat="1" ht="24.75" customHeight="1" thickBot="1">
      <c r="A24" s="2331" t="s">
        <v>1586</v>
      </c>
      <c r="B24" s="2484"/>
      <c r="C24" s="874">
        <f aca="true" t="shared" si="7" ref="C24:J24">SUM(C18:C23)</f>
        <v>0</v>
      </c>
      <c r="D24" s="875">
        <f t="shared" si="7"/>
        <v>0</v>
      </c>
      <c r="E24" s="876">
        <f t="shared" si="7"/>
        <v>0</v>
      </c>
      <c r="F24" s="874">
        <f t="shared" si="7"/>
        <v>0</v>
      </c>
      <c r="G24" s="877">
        <f t="shared" si="7"/>
        <v>0</v>
      </c>
      <c r="H24" s="877">
        <f t="shared" si="7"/>
        <v>0</v>
      </c>
      <c r="I24" s="876">
        <f t="shared" si="7"/>
        <v>0</v>
      </c>
      <c r="J24" s="878">
        <f t="shared" si="7"/>
        <v>0</v>
      </c>
      <c r="K24" s="875">
        <f>D24+F24-G24+H24+I24</f>
        <v>0</v>
      </c>
      <c r="L24" s="876">
        <f>J24-K24</f>
        <v>0</v>
      </c>
      <c r="M24" s="1326">
        <f>ROUND(E24/1000,0)</f>
        <v>0</v>
      </c>
      <c r="N24" s="1335">
        <f>ROUND(L24/1000,0)</f>
        <v>0</v>
      </c>
      <c r="O24" s="1340"/>
      <c r="P24" s="1341"/>
      <c r="Q24" s="1330">
        <f>M24+O24</f>
        <v>0</v>
      </c>
      <c r="R24" s="1327">
        <f>N24+P24</f>
        <v>0</v>
      </c>
    </row>
    <row r="25" spans="1:18" s="857" customFormat="1" ht="19.5" customHeight="1" hidden="1">
      <c r="A25" s="866"/>
      <c r="B25" s="867"/>
      <c r="C25" s="868"/>
      <c r="D25" s="869"/>
      <c r="E25" s="870">
        <f t="shared" si="3"/>
        <v>0</v>
      </c>
      <c r="F25" s="868"/>
      <c r="G25" s="871"/>
      <c r="H25" s="871"/>
      <c r="I25" s="872"/>
      <c r="J25" s="873"/>
      <c r="K25" s="750">
        <f t="shared" si="4"/>
        <v>0</v>
      </c>
      <c r="L25" s="870">
        <f t="shared" si="5"/>
        <v>0</v>
      </c>
      <c r="M25" s="1320"/>
      <c r="N25" s="1332"/>
      <c r="O25" s="1337"/>
      <c r="P25" s="1321"/>
      <c r="Q25" s="1337"/>
      <c r="R25" s="1321"/>
    </row>
    <row r="26" spans="1:18" s="857" customFormat="1" ht="19.5" customHeight="1">
      <c r="A26" s="866"/>
      <c r="B26" s="867"/>
      <c r="C26" s="868"/>
      <c r="D26" s="869"/>
      <c r="E26" s="870">
        <f>C26-D26</f>
        <v>0</v>
      </c>
      <c r="F26" s="868"/>
      <c r="G26" s="871"/>
      <c r="H26" s="871"/>
      <c r="I26" s="872"/>
      <c r="J26" s="873"/>
      <c r="K26" s="750">
        <f>D26+F26-G26+H26+I26</f>
        <v>0</v>
      </c>
      <c r="L26" s="870">
        <f>J26-K26</f>
        <v>0</v>
      </c>
      <c r="M26" s="1322"/>
      <c r="N26" s="1333"/>
      <c r="O26" s="1338"/>
      <c r="P26" s="1323"/>
      <c r="Q26" s="1338"/>
      <c r="R26" s="1323"/>
    </row>
    <row r="27" spans="1:18" s="857" customFormat="1" ht="19.5" customHeight="1">
      <c r="A27" s="879"/>
      <c r="B27" s="880"/>
      <c r="C27" s="881"/>
      <c r="D27" s="882"/>
      <c r="E27" s="897">
        <f>C27-D27</f>
        <v>0</v>
      </c>
      <c r="F27" s="881"/>
      <c r="G27" s="883"/>
      <c r="H27" s="883"/>
      <c r="I27" s="884"/>
      <c r="J27" s="885"/>
      <c r="K27" s="753">
        <f>D27+F27-G27+H27+I27</f>
        <v>0</v>
      </c>
      <c r="L27" s="897">
        <f>J27-K27</f>
        <v>0</v>
      </c>
      <c r="M27" s="1322"/>
      <c r="N27" s="1333"/>
      <c r="O27" s="1338"/>
      <c r="P27" s="1323"/>
      <c r="Q27" s="1338"/>
      <c r="R27" s="1323"/>
    </row>
    <row r="28" spans="1:18" s="857" customFormat="1" ht="19.5" customHeight="1" thickBot="1">
      <c r="A28" s="886"/>
      <c r="B28" s="887"/>
      <c r="C28" s="888"/>
      <c r="D28" s="889"/>
      <c r="E28" s="890">
        <f>C28-D28</f>
        <v>0</v>
      </c>
      <c r="F28" s="888"/>
      <c r="G28" s="891"/>
      <c r="H28" s="891"/>
      <c r="I28" s="892"/>
      <c r="J28" s="893"/>
      <c r="K28" s="894">
        <f>D28+F28-G28+H28+I28</f>
        <v>0</v>
      </c>
      <c r="L28" s="890">
        <f>J28-K28</f>
        <v>0</v>
      </c>
      <c r="M28" s="1324"/>
      <c r="N28" s="1334"/>
      <c r="O28" s="1339"/>
      <c r="P28" s="1325"/>
      <c r="Q28" s="1339"/>
      <c r="R28" s="1325"/>
    </row>
    <row r="29" spans="1:18" s="857" customFormat="1" ht="19.5" customHeight="1" thickBot="1">
      <c r="A29" s="2331" t="s">
        <v>221</v>
      </c>
      <c r="B29" s="2484"/>
      <c r="C29" s="874">
        <f aca="true" t="shared" si="8" ref="C29:J29">SUM(C25:C28)</f>
        <v>0</v>
      </c>
      <c r="D29" s="875">
        <f t="shared" si="8"/>
        <v>0</v>
      </c>
      <c r="E29" s="876">
        <f t="shared" si="8"/>
        <v>0</v>
      </c>
      <c r="F29" s="874">
        <f t="shared" si="8"/>
        <v>0</v>
      </c>
      <c r="G29" s="877">
        <f t="shared" si="8"/>
        <v>0</v>
      </c>
      <c r="H29" s="877">
        <f t="shared" si="8"/>
        <v>0</v>
      </c>
      <c r="I29" s="876">
        <f t="shared" si="8"/>
        <v>0</v>
      </c>
      <c r="J29" s="878">
        <f t="shared" si="8"/>
        <v>0</v>
      </c>
      <c r="K29" s="875">
        <f>D29+F29-G29+H29+I29</f>
        <v>0</v>
      </c>
      <c r="L29" s="876">
        <f>J29-K29</f>
        <v>0</v>
      </c>
      <c r="M29" s="1326">
        <f>ROUND(E29/1000,0)</f>
        <v>0</v>
      </c>
      <c r="N29" s="1335">
        <f>ROUND(L29/1000,0)</f>
        <v>0</v>
      </c>
      <c r="O29" s="1340"/>
      <c r="P29" s="1341"/>
      <c r="Q29" s="1330">
        <f>M29+O29</f>
        <v>0</v>
      </c>
      <c r="R29" s="1327">
        <f>N29+P29</f>
        <v>0</v>
      </c>
    </row>
    <row r="30" spans="1:18" s="857" customFormat="1" ht="19.5" customHeight="1" hidden="1">
      <c r="A30" s="866"/>
      <c r="B30" s="867"/>
      <c r="C30" s="868"/>
      <c r="D30" s="869"/>
      <c r="E30" s="870">
        <f t="shared" si="3"/>
        <v>0</v>
      </c>
      <c r="F30" s="868"/>
      <c r="G30" s="871"/>
      <c r="H30" s="871"/>
      <c r="I30" s="872"/>
      <c r="J30" s="873"/>
      <c r="K30" s="750">
        <f>D30+F30-G30+H30+I30</f>
        <v>0</v>
      </c>
      <c r="L30" s="870">
        <f>J30-K30</f>
        <v>0</v>
      </c>
      <c r="M30" s="1320"/>
      <c r="N30" s="1332"/>
      <c r="O30" s="1337"/>
      <c r="P30" s="1321"/>
      <c r="Q30" s="1337"/>
      <c r="R30" s="1321"/>
    </row>
    <row r="31" spans="1:18" s="857" customFormat="1" ht="19.5" customHeight="1">
      <c r="A31" s="879"/>
      <c r="B31" s="880"/>
      <c r="C31" s="881"/>
      <c r="D31" s="882"/>
      <c r="E31" s="870">
        <f t="shared" si="3"/>
        <v>0</v>
      </c>
      <c r="F31" s="881"/>
      <c r="G31" s="883"/>
      <c r="H31" s="883"/>
      <c r="I31" s="884"/>
      <c r="J31" s="885"/>
      <c r="K31" s="750">
        <f t="shared" si="4"/>
        <v>0</v>
      </c>
      <c r="L31" s="870">
        <f t="shared" si="5"/>
        <v>0</v>
      </c>
      <c r="M31" s="1322"/>
      <c r="N31" s="1333"/>
      <c r="O31" s="1338"/>
      <c r="P31" s="1323"/>
      <c r="Q31" s="1338"/>
      <c r="R31" s="1323"/>
    </row>
    <row r="32" spans="1:18" s="857" customFormat="1" ht="19.5" customHeight="1">
      <c r="A32" s="879"/>
      <c r="B32" s="880"/>
      <c r="C32" s="881"/>
      <c r="D32" s="882"/>
      <c r="E32" s="897">
        <f>C32-D32</f>
        <v>0</v>
      </c>
      <c r="F32" s="881"/>
      <c r="G32" s="883"/>
      <c r="H32" s="883"/>
      <c r="I32" s="884"/>
      <c r="J32" s="885"/>
      <c r="K32" s="753">
        <f>D32+F32-G32+H32+I32</f>
        <v>0</v>
      </c>
      <c r="L32" s="897">
        <f>J32-K32</f>
        <v>0</v>
      </c>
      <c r="M32" s="1322"/>
      <c r="N32" s="1333"/>
      <c r="O32" s="1338"/>
      <c r="P32" s="1323"/>
      <c r="Q32" s="1338"/>
      <c r="R32" s="1323"/>
    </row>
    <row r="33" spans="1:18" s="857" customFormat="1" ht="19.5" customHeight="1" thickBot="1">
      <c r="A33" s="886"/>
      <c r="B33" s="887"/>
      <c r="C33" s="888"/>
      <c r="D33" s="889"/>
      <c r="E33" s="890">
        <f t="shared" si="3"/>
        <v>0</v>
      </c>
      <c r="F33" s="888"/>
      <c r="G33" s="891"/>
      <c r="H33" s="891"/>
      <c r="I33" s="892"/>
      <c r="J33" s="893"/>
      <c r="K33" s="894">
        <f t="shared" si="4"/>
        <v>0</v>
      </c>
      <c r="L33" s="890">
        <f t="shared" si="5"/>
        <v>0</v>
      </c>
      <c r="M33" s="1324"/>
      <c r="N33" s="1334"/>
      <c r="O33" s="1339"/>
      <c r="P33" s="1325"/>
      <c r="Q33" s="1339"/>
      <c r="R33" s="1325"/>
    </row>
    <row r="34" spans="1:18" s="857" customFormat="1" ht="19.5" customHeight="1" thickBot="1">
      <c r="A34" s="2331" t="s">
        <v>222</v>
      </c>
      <c r="B34" s="2484"/>
      <c r="C34" s="874">
        <f aca="true" t="shared" si="9" ref="C34:J34">SUM(C30:C33)</f>
        <v>0</v>
      </c>
      <c r="D34" s="875">
        <f t="shared" si="9"/>
        <v>0</v>
      </c>
      <c r="E34" s="876">
        <f t="shared" si="9"/>
        <v>0</v>
      </c>
      <c r="F34" s="874">
        <f t="shared" si="9"/>
        <v>0</v>
      </c>
      <c r="G34" s="877">
        <f t="shared" si="9"/>
        <v>0</v>
      </c>
      <c r="H34" s="877">
        <f t="shared" si="9"/>
        <v>0</v>
      </c>
      <c r="I34" s="876">
        <f t="shared" si="9"/>
        <v>0</v>
      </c>
      <c r="J34" s="878">
        <f t="shared" si="9"/>
        <v>0</v>
      </c>
      <c r="K34" s="875">
        <f t="shared" si="4"/>
        <v>0</v>
      </c>
      <c r="L34" s="876">
        <f t="shared" si="5"/>
        <v>0</v>
      </c>
      <c r="M34" s="1326">
        <f>ROUND(E34/1000,0)</f>
        <v>0</v>
      </c>
      <c r="N34" s="1335">
        <f>ROUND(L34/1000,0)</f>
        <v>0</v>
      </c>
      <c r="O34" s="1340"/>
      <c r="P34" s="1341"/>
      <c r="Q34" s="1330">
        <f>M34+O34</f>
        <v>0</v>
      </c>
      <c r="R34" s="1327">
        <f>N34+P34</f>
        <v>0</v>
      </c>
    </row>
    <row r="35" spans="1:18" ht="19.5" customHeight="1" thickBot="1">
      <c r="A35" s="398"/>
      <c r="M35" s="1381"/>
      <c r="N35" s="1381"/>
      <c r="O35" s="1381"/>
      <c r="P35" s="1381"/>
      <c r="Q35" s="1381"/>
      <c r="R35" s="1381"/>
    </row>
    <row r="36" spans="1:18" ht="19.5" customHeight="1" thickBot="1" thickTop="1">
      <c r="A36" s="2331" t="s">
        <v>804</v>
      </c>
      <c r="B36" s="2484"/>
      <c r="C36" s="874">
        <f aca="true" t="shared" si="10" ref="C36:L36">SUM(C11,C12,C17,C24,C29,C34)</f>
        <v>0</v>
      </c>
      <c r="D36" s="875">
        <f t="shared" si="10"/>
        <v>0</v>
      </c>
      <c r="E36" s="876">
        <f t="shared" si="10"/>
        <v>0</v>
      </c>
      <c r="F36" s="874">
        <f t="shared" si="10"/>
        <v>0</v>
      </c>
      <c r="G36" s="877">
        <f t="shared" si="10"/>
        <v>0</v>
      </c>
      <c r="H36" s="877">
        <f t="shared" si="10"/>
        <v>0</v>
      </c>
      <c r="I36" s="876">
        <f t="shared" si="10"/>
        <v>0</v>
      </c>
      <c r="J36" s="878">
        <f t="shared" si="10"/>
        <v>0</v>
      </c>
      <c r="K36" s="875">
        <f t="shared" si="10"/>
        <v>0</v>
      </c>
      <c r="L36" s="876">
        <f t="shared" si="10"/>
        <v>0</v>
      </c>
      <c r="M36" s="1344">
        <f>SUM(M34,M29,M24,M17,M12,M11)</f>
        <v>0</v>
      </c>
      <c r="N36" s="1344">
        <f>SUM(N34,N29,N24,N17,N12,N11)</f>
        <v>0</v>
      </c>
      <c r="O36" s="1344">
        <f>SUM(O34,O29,O24,O17,O12,O11)</f>
        <v>0</v>
      </c>
      <c r="P36" s="1344">
        <f>SUM(P34,P29,P24,P17,P12,P11)</f>
        <v>0</v>
      </c>
      <c r="Q36" s="1342">
        <f>ROUND(E36/1000,0)</f>
        <v>0</v>
      </c>
      <c r="R36" s="1343">
        <f>ROUND(L36/1000,0)</f>
        <v>0</v>
      </c>
    </row>
    <row r="37" spans="1:18" ht="15.75" thickBot="1">
      <c r="A37" s="398"/>
      <c r="Q37" s="1345" t="str">
        <f>IF(Q36-O36-M36=0,"OK",Q36-O36-M36)</f>
        <v>OK</v>
      </c>
      <c r="R37" s="1345" t="str">
        <f>IF(R36-P36-N36=0,"OK",R36-P36-N36)</f>
        <v>OK</v>
      </c>
    </row>
  </sheetData>
  <mergeCells count="15">
    <mergeCell ref="Q5:R5"/>
    <mergeCell ref="C5:E5"/>
    <mergeCell ref="F5:I5"/>
    <mergeCell ref="M5:N5"/>
    <mergeCell ref="O5:P5"/>
    <mergeCell ref="A36:B36"/>
    <mergeCell ref="J5:L5"/>
    <mergeCell ref="A34:B34"/>
    <mergeCell ref="A11:B11"/>
    <mergeCell ref="A12:B12"/>
    <mergeCell ref="A17:B17"/>
    <mergeCell ref="A24:B24"/>
    <mergeCell ref="A29:B29"/>
    <mergeCell ref="A5:A6"/>
    <mergeCell ref="B5:B6"/>
  </mergeCells>
  <printOptions horizontalCentered="1"/>
  <pageMargins left="0.7874015748031497" right="0.7874015748031497" top="0.5905511811023623" bottom="0.61" header="0.3937007874015748" footer="0.4"/>
  <pageSetup horizontalDpi="600" verticalDpi="600" orientation="landscape" paperSize="9" scale="80" r:id="rId1"/>
  <headerFooter alignWithMargins="0">
    <oddFooter>&amp;L&amp;U                                                &amp;U
        vállalkozás vezetője
             (képviselője)&amp;C&amp;P/&amp;N&amp;R&amp;A</oddFooter>
  </headerFooter>
  <colBreaks count="1" manualBreakCount="1">
    <brk id="12" max="65535" man="1"/>
  </colBreaks>
</worksheet>
</file>

<file path=xl/worksheets/sheet52.xml><?xml version="1.0" encoding="utf-8"?>
<worksheet xmlns="http://schemas.openxmlformats.org/spreadsheetml/2006/main" xmlns:r="http://schemas.openxmlformats.org/officeDocument/2006/relationships">
  <sheetPr codeName="Munka43"/>
  <dimension ref="A1:S34"/>
  <sheetViews>
    <sheetView workbookViewId="0" topLeftCell="A1">
      <pane xSplit="2" ySplit="6" topLeftCell="C7" activePane="bottomRight" state="frozen"/>
      <selection pane="topLeft" activeCell="A1" sqref="A1"/>
      <selection pane="topRight" activeCell="C1" sqref="C1"/>
      <selection pane="bottomLeft" activeCell="A6" sqref="A6"/>
      <selection pane="bottomRight" activeCell="F46" sqref="F46"/>
    </sheetView>
  </sheetViews>
  <sheetFormatPr defaultColWidth="9.00390625" defaultRowHeight="12.75"/>
  <cols>
    <col min="1" max="1" width="11.125" style="388" customWidth="1"/>
    <col min="2" max="2" width="34.75390625" style="388" customWidth="1"/>
    <col min="3" max="10" width="10.75390625" style="388" customWidth="1"/>
    <col min="11" max="11" width="10.625" style="388" customWidth="1"/>
    <col min="12" max="13" width="10.75390625" style="388" customWidth="1"/>
    <col min="14" max="16384" width="9.125" style="388" customWidth="1"/>
  </cols>
  <sheetData>
    <row r="1" spans="1:13" s="372" customFormat="1" ht="15">
      <c r="A1" s="387" t="str">
        <f>'III.A.I-II'!A1</f>
        <v>Komáromi Távhő Kft</v>
      </c>
      <c r="B1" s="470"/>
      <c r="C1" s="470"/>
      <c r="D1" s="470"/>
      <c r="M1" s="389" t="str">
        <f>'L.B.II'!L1</f>
        <v>Pénzügyi leltár 2016. december 31.Hőszolgáltatás </v>
      </c>
    </row>
    <row r="2" spans="1:13" s="372" customFormat="1" ht="15">
      <c r="A2" s="387"/>
      <c r="B2" s="470"/>
      <c r="C2" s="470"/>
      <c r="D2" s="470"/>
      <c r="M2" s="389"/>
    </row>
    <row r="3" spans="1:13" s="628" customFormat="1" ht="16.5">
      <c r="A3" s="840" t="s">
        <v>623</v>
      </c>
      <c r="B3" s="393"/>
      <c r="C3" s="393"/>
      <c r="D3" s="393"/>
      <c r="E3" s="393"/>
      <c r="F3" s="393"/>
      <c r="G3" s="393"/>
      <c r="H3" s="393"/>
      <c r="I3" s="393"/>
      <c r="J3" s="393"/>
      <c r="K3" s="393"/>
      <c r="L3" s="393"/>
      <c r="M3" s="393"/>
    </row>
    <row r="4" spans="1:13" s="981" customFormat="1" ht="12" thickBot="1">
      <c r="A4" s="980"/>
      <c r="L4" s="979"/>
      <c r="M4" s="979" t="str">
        <f>'L.B.II'!L4</f>
        <v>Adatok Ft-ban</v>
      </c>
    </row>
    <row r="5" spans="1:19" s="769" customFormat="1" ht="22.5" customHeight="1" thickTop="1">
      <c r="A5" s="2499" t="s">
        <v>1564</v>
      </c>
      <c r="B5" s="2500"/>
      <c r="C5" s="2498" t="s">
        <v>606</v>
      </c>
      <c r="D5" s="2473"/>
      <c r="E5" s="2473"/>
      <c r="F5" s="2464"/>
      <c r="G5" s="2498" t="s">
        <v>42</v>
      </c>
      <c r="H5" s="2473"/>
      <c r="I5" s="2473"/>
      <c r="J5" s="2473"/>
      <c r="K5" s="2464"/>
      <c r="L5" s="2495" t="s">
        <v>43</v>
      </c>
      <c r="M5" s="2496"/>
      <c r="N5" s="2490" t="s">
        <v>790</v>
      </c>
      <c r="O5" s="2491"/>
      <c r="P5" s="2492" t="s">
        <v>788</v>
      </c>
      <c r="Q5" s="2493"/>
      <c r="R5" s="2494" t="s">
        <v>789</v>
      </c>
      <c r="S5" s="2493"/>
    </row>
    <row r="6" spans="1:19" s="769" customFormat="1" ht="19.5" customHeight="1" thickBot="1">
      <c r="A6" s="2501"/>
      <c r="B6" s="2502"/>
      <c r="C6" s="982" t="s">
        <v>603</v>
      </c>
      <c r="D6" s="771" t="s">
        <v>604</v>
      </c>
      <c r="E6" s="771" t="s">
        <v>605</v>
      </c>
      <c r="F6" s="773" t="s">
        <v>922</v>
      </c>
      <c r="G6" s="982" t="s">
        <v>603</v>
      </c>
      <c r="H6" s="771" t="s">
        <v>604</v>
      </c>
      <c r="I6" s="771" t="s">
        <v>605</v>
      </c>
      <c r="J6" s="983" t="s">
        <v>57</v>
      </c>
      <c r="K6" s="773" t="s">
        <v>922</v>
      </c>
      <c r="L6" s="982" t="s">
        <v>603</v>
      </c>
      <c r="M6" s="773" t="s">
        <v>922</v>
      </c>
      <c r="N6" s="1515" t="s">
        <v>603</v>
      </c>
      <c r="O6" s="1516" t="s">
        <v>922</v>
      </c>
      <c r="P6" s="1517" t="s">
        <v>603</v>
      </c>
      <c r="Q6" s="1518" t="s">
        <v>922</v>
      </c>
      <c r="R6" s="1515" t="s">
        <v>603</v>
      </c>
      <c r="S6" s="1518" t="s">
        <v>922</v>
      </c>
    </row>
    <row r="7" spans="1:17" s="778" customFormat="1" ht="19.5" customHeight="1" hidden="1" thickTop="1">
      <c r="A7" s="984"/>
      <c r="B7" s="985"/>
      <c r="C7" s="789"/>
      <c r="D7" s="790"/>
      <c r="E7" s="790"/>
      <c r="F7" s="834">
        <f>SUM(C7:E7)</f>
        <v>0</v>
      </c>
      <c r="G7" s="789"/>
      <c r="H7" s="790"/>
      <c r="I7" s="790"/>
      <c r="J7" s="986"/>
      <c r="K7" s="834">
        <f>SUM(G7:J7)</f>
        <v>0</v>
      </c>
      <c r="L7" s="987">
        <f>C7-G7</f>
        <v>0</v>
      </c>
      <c r="M7" s="834">
        <f>F7-K7</f>
        <v>0</v>
      </c>
      <c r="N7" s="988"/>
      <c r="O7" s="988"/>
      <c r="P7" s="988"/>
      <c r="Q7" s="988"/>
    </row>
    <row r="8" spans="1:19" s="778" customFormat="1" ht="19.5" customHeight="1" thickTop="1">
      <c r="A8" s="805"/>
      <c r="B8" s="989"/>
      <c r="C8" s="781"/>
      <c r="D8" s="782"/>
      <c r="E8" s="782"/>
      <c r="F8" s="832">
        <f aca="true" t="shared" si="0" ref="F8:F31">SUM(C8:E8)</f>
        <v>0</v>
      </c>
      <c r="G8" s="781"/>
      <c r="H8" s="782"/>
      <c r="I8" s="782"/>
      <c r="J8" s="990"/>
      <c r="K8" s="832">
        <f aca="true" t="shared" si="1" ref="K8:K26">SUM(G8:J8)</f>
        <v>0</v>
      </c>
      <c r="L8" s="991">
        <f>C8-G8</f>
        <v>0</v>
      </c>
      <c r="M8" s="1020">
        <f aca="true" t="shared" si="2" ref="M8:M31">F8-K8</f>
        <v>0</v>
      </c>
      <c r="N8" s="1520"/>
      <c r="O8" s="1521"/>
      <c r="P8" s="1520"/>
      <c r="Q8" s="1521"/>
      <c r="R8" s="1522"/>
      <c r="S8" s="1521"/>
    </row>
    <row r="9" spans="1:19" s="778" customFormat="1" ht="19.5" customHeight="1">
      <c r="A9" s="806"/>
      <c r="B9" s="993"/>
      <c r="C9" s="785"/>
      <c r="D9" s="782"/>
      <c r="E9" s="782"/>
      <c r="F9" s="832">
        <f>SUM(C9:E9)</f>
        <v>0</v>
      </c>
      <c r="G9" s="781"/>
      <c r="H9" s="782"/>
      <c r="I9" s="782"/>
      <c r="J9" s="990"/>
      <c r="K9" s="832">
        <f>SUM(G9:J9)</f>
        <v>0</v>
      </c>
      <c r="L9" s="991">
        <f>C9-G9</f>
        <v>0</v>
      </c>
      <c r="M9" s="1020">
        <f>F9-K9</f>
        <v>0</v>
      </c>
      <c r="N9" s="1523"/>
      <c r="O9" s="1524"/>
      <c r="P9" s="1523"/>
      <c r="Q9" s="1524"/>
      <c r="R9" s="1525"/>
      <c r="S9" s="1524"/>
    </row>
    <row r="10" spans="1:19" s="778" customFormat="1" ht="19.5" customHeight="1" thickBot="1">
      <c r="A10" s="992"/>
      <c r="B10" s="993"/>
      <c r="C10" s="785"/>
      <c r="D10" s="786"/>
      <c r="E10" s="786"/>
      <c r="F10" s="833">
        <f t="shared" si="0"/>
        <v>0</v>
      </c>
      <c r="G10" s="785"/>
      <c r="H10" s="786"/>
      <c r="I10" s="786"/>
      <c r="J10" s="994"/>
      <c r="K10" s="833">
        <f t="shared" si="1"/>
        <v>0</v>
      </c>
      <c r="L10" s="995">
        <f>C10-G10</f>
        <v>0</v>
      </c>
      <c r="M10" s="1519">
        <f t="shared" si="2"/>
        <v>0</v>
      </c>
      <c r="N10" s="1526"/>
      <c r="O10" s="1527"/>
      <c r="P10" s="1526"/>
      <c r="Q10" s="1527"/>
      <c r="R10" s="1528"/>
      <c r="S10" s="1527"/>
    </row>
    <row r="11" spans="1:19" s="778" customFormat="1" ht="19.5" customHeight="1" thickBot="1" thickTop="1">
      <c r="A11" s="2465" t="s">
        <v>223</v>
      </c>
      <c r="B11" s="2497"/>
      <c r="C11" s="828">
        <f>SUM(C7:C10)</f>
        <v>0</v>
      </c>
      <c r="D11" s="829">
        <f>SUM(D7:D10)</f>
        <v>0</v>
      </c>
      <c r="E11" s="829">
        <f>SUM(E7:E10)</f>
        <v>0</v>
      </c>
      <c r="F11" s="830">
        <f t="shared" si="0"/>
        <v>0</v>
      </c>
      <c r="G11" s="828">
        <f>SUM(G7:G10)</f>
        <v>0</v>
      </c>
      <c r="H11" s="829">
        <f>SUM(H7:H10)</f>
        <v>0</v>
      </c>
      <c r="I11" s="829">
        <f>SUM(I7:I10)</f>
        <v>0</v>
      </c>
      <c r="J11" s="996">
        <f>SUM(J7:J10)</f>
        <v>0</v>
      </c>
      <c r="K11" s="830">
        <f t="shared" si="1"/>
        <v>0</v>
      </c>
      <c r="L11" s="828">
        <f>C11-G11</f>
        <v>0</v>
      </c>
      <c r="M11" s="830">
        <f t="shared" si="2"/>
        <v>0</v>
      </c>
      <c r="N11" s="1326">
        <f>ROUND(L11/1000,0)</f>
        <v>0</v>
      </c>
      <c r="O11" s="1335">
        <f>ROUND(M11/1000,0)</f>
        <v>0</v>
      </c>
      <c r="P11" s="1340"/>
      <c r="Q11" s="1341"/>
      <c r="R11" s="1330">
        <f>N11+P11</f>
        <v>0</v>
      </c>
      <c r="S11" s="1327">
        <f>O11+Q11</f>
        <v>0</v>
      </c>
    </row>
    <row r="12" spans="1:19" s="778" customFormat="1" ht="19.5" customHeight="1" hidden="1" thickTop="1">
      <c r="A12" s="984"/>
      <c r="B12" s="985"/>
      <c r="C12" s="789"/>
      <c r="D12" s="790"/>
      <c r="E12" s="790"/>
      <c r="F12" s="834">
        <f>SUM(C12:E12)</f>
        <v>0</v>
      </c>
      <c r="G12" s="789"/>
      <c r="H12" s="790"/>
      <c r="I12" s="790"/>
      <c r="J12" s="986"/>
      <c r="K12" s="834">
        <f t="shared" si="1"/>
        <v>0</v>
      </c>
      <c r="L12" s="987">
        <f aca="true" t="shared" si="3" ref="L12:L31">C12-G12</f>
        <v>0</v>
      </c>
      <c r="M12" s="834">
        <f t="shared" si="2"/>
        <v>0</v>
      </c>
      <c r="N12" s="1394"/>
      <c r="O12" s="1393"/>
      <c r="P12" s="1392"/>
      <c r="Q12" s="1393"/>
      <c r="R12" s="1392"/>
      <c r="S12" s="1393"/>
    </row>
    <row r="13" spans="1:19" s="778" customFormat="1" ht="19.5" customHeight="1" thickTop="1">
      <c r="A13" s="805"/>
      <c r="B13" s="989"/>
      <c r="C13" s="781"/>
      <c r="D13" s="782"/>
      <c r="E13" s="782"/>
      <c r="F13" s="832">
        <f t="shared" si="0"/>
        <v>0</v>
      </c>
      <c r="G13" s="781"/>
      <c r="H13" s="782"/>
      <c r="I13" s="782"/>
      <c r="J13" s="990"/>
      <c r="K13" s="832">
        <f t="shared" si="1"/>
        <v>0</v>
      </c>
      <c r="L13" s="991">
        <f t="shared" si="3"/>
        <v>0</v>
      </c>
      <c r="M13" s="832">
        <f t="shared" si="2"/>
        <v>0</v>
      </c>
      <c r="N13" s="1333"/>
      <c r="O13" s="1323"/>
      <c r="P13" s="1338"/>
      <c r="Q13" s="1323"/>
      <c r="R13" s="1338"/>
      <c r="S13" s="1323"/>
    </row>
    <row r="14" spans="1:19" s="778" customFormat="1" ht="19.5" customHeight="1">
      <c r="A14" s="806"/>
      <c r="B14" s="993"/>
      <c r="C14" s="785"/>
      <c r="D14" s="786"/>
      <c r="E14" s="786"/>
      <c r="F14" s="832">
        <f>SUM(C14:E14)</f>
        <v>0</v>
      </c>
      <c r="G14" s="781"/>
      <c r="H14" s="782"/>
      <c r="I14" s="782"/>
      <c r="J14" s="990"/>
      <c r="K14" s="832">
        <f>SUM(G14:J14)</f>
        <v>0</v>
      </c>
      <c r="L14" s="991">
        <f>C14-G14</f>
        <v>0</v>
      </c>
      <c r="M14" s="832">
        <f>F14-K14</f>
        <v>0</v>
      </c>
      <c r="N14" s="1333"/>
      <c r="O14" s="1323"/>
      <c r="P14" s="1338"/>
      <c r="Q14" s="1323"/>
      <c r="R14" s="1338"/>
      <c r="S14" s="1323"/>
    </row>
    <row r="15" spans="1:19" s="778" customFormat="1" ht="19.5" customHeight="1" thickBot="1">
      <c r="A15" s="992"/>
      <c r="B15" s="993"/>
      <c r="C15" s="785"/>
      <c r="D15" s="786"/>
      <c r="E15" s="786"/>
      <c r="F15" s="833">
        <f t="shared" si="0"/>
        <v>0</v>
      </c>
      <c r="G15" s="785"/>
      <c r="H15" s="786"/>
      <c r="I15" s="786"/>
      <c r="J15" s="994"/>
      <c r="K15" s="833">
        <f t="shared" si="1"/>
        <v>0</v>
      </c>
      <c r="L15" s="995">
        <f t="shared" si="3"/>
        <v>0</v>
      </c>
      <c r="M15" s="833">
        <f t="shared" si="2"/>
        <v>0</v>
      </c>
      <c r="N15" s="1334"/>
      <c r="O15" s="1325"/>
      <c r="P15" s="1339"/>
      <c r="Q15" s="1325"/>
      <c r="R15" s="1339"/>
      <c r="S15" s="1325"/>
    </row>
    <row r="16" spans="1:19" s="778" customFormat="1" ht="19.5" customHeight="1" thickBot="1" thickTop="1">
      <c r="A16" s="2465" t="s">
        <v>1565</v>
      </c>
      <c r="B16" s="2497"/>
      <c r="C16" s="828">
        <f>SUM(C12:C15)</f>
        <v>0</v>
      </c>
      <c r="D16" s="829">
        <f>SUM(D12:D15)</f>
        <v>0</v>
      </c>
      <c r="E16" s="829">
        <f>SUM(E12:E15)</f>
        <v>0</v>
      </c>
      <c r="F16" s="830">
        <f t="shared" si="0"/>
        <v>0</v>
      </c>
      <c r="G16" s="828">
        <f>SUM(G12:G15)</f>
        <v>0</v>
      </c>
      <c r="H16" s="829">
        <f>SUM(H12:H15)</f>
        <v>0</v>
      </c>
      <c r="I16" s="829">
        <f>SUM(I12:I15)</f>
        <v>0</v>
      </c>
      <c r="J16" s="996">
        <f>SUM(J12:J15)</f>
        <v>0</v>
      </c>
      <c r="K16" s="830">
        <f t="shared" si="1"/>
        <v>0</v>
      </c>
      <c r="L16" s="828">
        <f t="shared" si="3"/>
        <v>0</v>
      </c>
      <c r="M16" s="830">
        <f t="shared" si="2"/>
        <v>0</v>
      </c>
      <c r="N16" s="1326">
        <f>ROUND(L16/1000,0)</f>
        <v>0</v>
      </c>
      <c r="O16" s="1335">
        <f>ROUND(M16/1000,0)</f>
        <v>0</v>
      </c>
      <c r="P16" s="1340"/>
      <c r="Q16" s="1341"/>
      <c r="R16" s="1330">
        <f>N16+P16</f>
        <v>0</v>
      </c>
      <c r="S16" s="1327">
        <f>O16+Q16</f>
        <v>0</v>
      </c>
    </row>
    <row r="17" spans="1:19" s="778" customFormat="1" ht="19.5" customHeight="1" hidden="1" thickTop="1">
      <c r="A17" s="984"/>
      <c r="B17" s="985"/>
      <c r="C17" s="789"/>
      <c r="D17" s="790"/>
      <c r="E17" s="790"/>
      <c r="F17" s="834">
        <f>SUM(C17:E17)</f>
        <v>0</v>
      </c>
      <c r="G17" s="789"/>
      <c r="H17" s="790"/>
      <c r="I17" s="790"/>
      <c r="J17" s="986"/>
      <c r="K17" s="834">
        <f t="shared" si="1"/>
        <v>0</v>
      </c>
      <c r="L17" s="987">
        <f t="shared" si="3"/>
        <v>0</v>
      </c>
      <c r="M17" s="834">
        <f t="shared" si="2"/>
        <v>0</v>
      </c>
      <c r="N17" s="1332"/>
      <c r="O17" s="1332"/>
      <c r="P17" s="1337"/>
      <c r="Q17" s="1321"/>
      <c r="R17" s="1337"/>
      <c r="S17" s="1321"/>
    </row>
    <row r="18" spans="1:19" s="778" customFormat="1" ht="19.5" customHeight="1" thickTop="1">
      <c r="A18" s="805"/>
      <c r="B18" s="989"/>
      <c r="C18" s="781"/>
      <c r="D18" s="782"/>
      <c r="E18" s="782"/>
      <c r="F18" s="832">
        <f t="shared" si="0"/>
        <v>0</v>
      </c>
      <c r="G18" s="781"/>
      <c r="H18" s="782"/>
      <c r="I18" s="782"/>
      <c r="J18" s="990"/>
      <c r="K18" s="832">
        <f t="shared" si="1"/>
        <v>0</v>
      </c>
      <c r="L18" s="991">
        <f t="shared" si="3"/>
        <v>0</v>
      </c>
      <c r="M18" s="832">
        <f t="shared" si="2"/>
        <v>0</v>
      </c>
      <c r="N18" s="1333"/>
      <c r="O18" s="1333"/>
      <c r="P18" s="1338"/>
      <c r="Q18" s="1323"/>
      <c r="R18" s="1338"/>
      <c r="S18" s="1323"/>
    </row>
    <row r="19" spans="1:19" s="778" customFormat="1" ht="19.5" customHeight="1">
      <c r="A19" s="806"/>
      <c r="B19" s="993"/>
      <c r="C19" s="785"/>
      <c r="D19" s="786"/>
      <c r="E19" s="786"/>
      <c r="F19" s="832">
        <f>SUM(C19:E19)</f>
        <v>0</v>
      </c>
      <c r="G19" s="781"/>
      <c r="H19" s="782"/>
      <c r="I19" s="782"/>
      <c r="J19" s="990"/>
      <c r="K19" s="832">
        <f>SUM(G19:J19)</f>
        <v>0</v>
      </c>
      <c r="L19" s="991">
        <f>C19-G19</f>
        <v>0</v>
      </c>
      <c r="M19" s="832">
        <f>F19-K19</f>
        <v>0</v>
      </c>
      <c r="N19" s="1333"/>
      <c r="O19" s="1333"/>
      <c r="P19" s="1338"/>
      <c r="Q19" s="1323"/>
      <c r="R19" s="1338"/>
      <c r="S19" s="1323"/>
    </row>
    <row r="20" spans="1:19" s="778" customFormat="1" ht="19.5" customHeight="1" thickBot="1">
      <c r="A20" s="992"/>
      <c r="B20" s="993"/>
      <c r="C20" s="785"/>
      <c r="D20" s="786"/>
      <c r="E20" s="786"/>
      <c r="F20" s="833">
        <f t="shared" si="0"/>
        <v>0</v>
      </c>
      <c r="G20" s="785"/>
      <c r="H20" s="786"/>
      <c r="I20" s="786"/>
      <c r="J20" s="994"/>
      <c r="K20" s="833">
        <f t="shared" si="1"/>
        <v>0</v>
      </c>
      <c r="L20" s="995">
        <f t="shared" si="3"/>
        <v>0</v>
      </c>
      <c r="M20" s="833">
        <f t="shared" si="2"/>
        <v>0</v>
      </c>
      <c r="N20" s="1334"/>
      <c r="O20" s="1334"/>
      <c r="P20" s="1339"/>
      <c r="Q20" s="1325"/>
      <c r="R20" s="1339"/>
      <c r="S20" s="1325"/>
    </row>
    <row r="21" spans="1:19" s="778" customFormat="1" ht="19.5" customHeight="1" thickBot="1" thickTop="1">
      <c r="A21" s="2465" t="s">
        <v>225</v>
      </c>
      <c r="B21" s="2497"/>
      <c r="C21" s="828">
        <f>SUM(C17:C20)</f>
        <v>0</v>
      </c>
      <c r="D21" s="829">
        <f>SUM(D17:D20)</f>
        <v>0</v>
      </c>
      <c r="E21" s="829">
        <f>SUM(E17:E20)</f>
        <v>0</v>
      </c>
      <c r="F21" s="830">
        <f t="shared" si="0"/>
        <v>0</v>
      </c>
      <c r="G21" s="828">
        <f>SUM(G17:G20)</f>
        <v>0</v>
      </c>
      <c r="H21" s="829">
        <f>SUM(H17:H20)</f>
        <v>0</v>
      </c>
      <c r="I21" s="829">
        <f>SUM(I17:I20)</f>
        <v>0</v>
      </c>
      <c r="J21" s="996">
        <f>SUM(J17:J20)</f>
        <v>0</v>
      </c>
      <c r="K21" s="830">
        <f t="shared" si="1"/>
        <v>0</v>
      </c>
      <c r="L21" s="828">
        <f t="shared" si="3"/>
        <v>0</v>
      </c>
      <c r="M21" s="830">
        <f t="shared" si="2"/>
        <v>0</v>
      </c>
      <c r="N21" s="1326">
        <f>ROUND(L21/1000,0)</f>
        <v>0</v>
      </c>
      <c r="O21" s="1335">
        <f>ROUND(M21/1000,0)</f>
        <v>0</v>
      </c>
      <c r="P21" s="1340"/>
      <c r="Q21" s="1341"/>
      <c r="R21" s="1330">
        <f>N21+P21</f>
        <v>0</v>
      </c>
      <c r="S21" s="1327">
        <f>O21+Q21</f>
        <v>0</v>
      </c>
    </row>
    <row r="22" spans="1:19" s="778" customFormat="1" ht="19.5" customHeight="1" hidden="1" thickTop="1">
      <c r="A22" s="984"/>
      <c r="B22" s="997"/>
      <c r="C22" s="789"/>
      <c r="D22" s="790"/>
      <c r="E22" s="790"/>
      <c r="F22" s="834">
        <f>SUM(C22:E22)</f>
        <v>0</v>
      </c>
      <c r="G22" s="998"/>
      <c r="H22" s="999"/>
      <c r="I22" s="999"/>
      <c r="J22" s="1000"/>
      <c r="K22" s="834">
        <f t="shared" si="1"/>
        <v>0</v>
      </c>
      <c r="L22" s="987">
        <f t="shared" si="3"/>
        <v>0</v>
      </c>
      <c r="M22" s="834">
        <f t="shared" si="2"/>
        <v>0</v>
      </c>
      <c r="N22" s="1320"/>
      <c r="O22" s="1332"/>
      <c r="P22" s="1337"/>
      <c r="Q22" s="1321"/>
      <c r="R22" s="1337"/>
      <c r="S22" s="1321"/>
    </row>
    <row r="23" spans="1:19" s="778" customFormat="1" ht="19.5" customHeight="1" thickTop="1">
      <c r="A23" s="805"/>
      <c r="B23" s="1001"/>
      <c r="C23" s="781"/>
      <c r="D23" s="782"/>
      <c r="E23" s="782"/>
      <c r="F23" s="832">
        <f t="shared" si="0"/>
        <v>0</v>
      </c>
      <c r="G23" s="1002"/>
      <c r="H23" s="1003"/>
      <c r="I23" s="1003"/>
      <c r="J23" s="1004"/>
      <c r="K23" s="832">
        <f t="shared" si="1"/>
        <v>0</v>
      </c>
      <c r="L23" s="991">
        <f t="shared" si="3"/>
        <v>0</v>
      </c>
      <c r="M23" s="832">
        <f t="shared" si="2"/>
        <v>0</v>
      </c>
      <c r="N23" s="1322"/>
      <c r="O23" s="1333"/>
      <c r="P23" s="1338"/>
      <c r="Q23" s="1323"/>
      <c r="R23" s="1338"/>
      <c r="S23" s="1323"/>
    </row>
    <row r="24" spans="1:19" s="778" customFormat="1" ht="19.5" customHeight="1">
      <c r="A24" s="806"/>
      <c r="B24" s="807"/>
      <c r="C24" s="785"/>
      <c r="D24" s="786"/>
      <c r="E24" s="782"/>
      <c r="F24" s="832">
        <f>SUM(C24:E24)</f>
        <v>0</v>
      </c>
      <c r="G24" s="1002"/>
      <c r="H24" s="1003"/>
      <c r="I24" s="1003"/>
      <c r="J24" s="1004"/>
      <c r="K24" s="832">
        <f>SUM(G24:J24)</f>
        <v>0</v>
      </c>
      <c r="L24" s="991">
        <f>C24-G24</f>
        <v>0</v>
      </c>
      <c r="M24" s="832">
        <f>F24-K24</f>
        <v>0</v>
      </c>
      <c r="N24" s="1322"/>
      <c r="O24" s="1333"/>
      <c r="P24" s="1338"/>
      <c r="Q24" s="1323"/>
      <c r="R24" s="1338"/>
      <c r="S24" s="1323"/>
    </row>
    <row r="25" spans="1:19" s="778" customFormat="1" ht="19.5" customHeight="1" thickBot="1">
      <c r="A25" s="992"/>
      <c r="B25" s="1005"/>
      <c r="C25" s="785"/>
      <c r="D25" s="786"/>
      <c r="E25" s="786"/>
      <c r="F25" s="833">
        <f t="shared" si="0"/>
        <v>0</v>
      </c>
      <c r="G25" s="1006"/>
      <c r="H25" s="1007"/>
      <c r="I25" s="1007"/>
      <c r="J25" s="1008"/>
      <c r="K25" s="833">
        <f t="shared" si="1"/>
        <v>0</v>
      </c>
      <c r="L25" s="995">
        <f t="shared" si="3"/>
        <v>0</v>
      </c>
      <c r="M25" s="833">
        <f t="shared" si="2"/>
        <v>0</v>
      </c>
      <c r="N25" s="1324"/>
      <c r="O25" s="1334"/>
      <c r="P25" s="1339"/>
      <c r="Q25" s="1325"/>
      <c r="R25" s="1339"/>
      <c r="S25" s="1325"/>
    </row>
    <row r="26" spans="1:19" s="778" customFormat="1" ht="26.25" customHeight="1" thickBot="1" thickTop="1">
      <c r="A26" s="2465" t="s">
        <v>1566</v>
      </c>
      <c r="B26" s="2497"/>
      <c r="C26" s="828">
        <f>SUM(C22:C25)</f>
        <v>0</v>
      </c>
      <c r="D26" s="829">
        <f>SUM(D22:D25)</f>
        <v>0</v>
      </c>
      <c r="E26" s="829">
        <f>SUM(E22:E25)</f>
        <v>0</v>
      </c>
      <c r="F26" s="830">
        <f t="shared" si="0"/>
        <v>0</v>
      </c>
      <c r="G26" s="828">
        <f>SUM(G22:G25)</f>
        <v>0</v>
      </c>
      <c r="H26" s="829">
        <f>SUM(H22:H25)</f>
        <v>0</v>
      </c>
      <c r="I26" s="829">
        <f>SUM(I22:I25)</f>
        <v>0</v>
      </c>
      <c r="J26" s="996">
        <f>SUM(J22:J25)</f>
        <v>0</v>
      </c>
      <c r="K26" s="830">
        <f t="shared" si="1"/>
        <v>0</v>
      </c>
      <c r="L26" s="828">
        <f t="shared" si="3"/>
        <v>0</v>
      </c>
      <c r="M26" s="830">
        <f t="shared" si="2"/>
        <v>0</v>
      </c>
      <c r="N26" s="1326">
        <f>ROUND(L26/1000,0)</f>
        <v>0</v>
      </c>
      <c r="O26" s="1335">
        <f>ROUND(M26/1000,0)</f>
        <v>0</v>
      </c>
      <c r="P26" s="1340"/>
      <c r="Q26" s="1341"/>
      <c r="R26" s="1330">
        <f>N26+P26</f>
        <v>0</v>
      </c>
      <c r="S26" s="1327">
        <f>O26+Q26</f>
        <v>0</v>
      </c>
    </row>
    <row r="27" spans="1:19" s="778" customFormat="1" ht="19.5" customHeight="1" hidden="1" thickTop="1">
      <c r="A27" s="1009"/>
      <c r="B27" s="1010"/>
      <c r="C27" s="1011"/>
      <c r="D27" s="1012"/>
      <c r="E27" s="1012"/>
      <c r="F27" s="834">
        <f>SUM(C27:E27)</f>
        <v>0</v>
      </c>
      <c r="G27" s="987"/>
      <c r="H27" s="1013"/>
      <c r="I27" s="1013"/>
      <c r="J27" s="1014"/>
      <c r="K27" s="834"/>
      <c r="L27" s="987">
        <f t="shared" si="3"/>
        <v>0</v>
      </c>
      <c r="M27" s="834">
        <f t="shared" si="2"/>
        <v>0</v>
      </c>
      <c r="N27" s="1320"/>
      <c r="O27" s="1332"/>
      <c r="P27" s="1337"/>
      <c r="Q27" s="1321"/>
      <c r="R27" s="1337"/>
      <c r="S27" s="1321"/>
    </row>
    <row r="28" spans="1:19" s="778" customFormat="1" ht="19.5" customHeight="1" hidden="1" thickTop="1">
      <c r="A28" s="1015"/>
      <c r="B28" s="1016"/>
      <c r="C28" s="1017"/>
      <c r="D28" s="1018"/>
      <c r="E28" s="1018"/>
      <c r="F28" s="832">
        <f t="shared" si="0"/>
        <v>0</v>
      </c>
      <c r="G28" s="991"/>
      <c r="H28" s="1019"/>
      <c r="I28" s="1019"/>
      <c r="J28" s="1020"/>
      <c r="K28" s="832"/>
      <c r="L28" s="991">
        <f t="shared" si="3"/>
        <v>0</v>
      </c>
      <c r="M28" s="832">
        <f t="shared" si="2"/>
        <v>0</v>
      </c>
      <c r="N28" s="1322"/>
      <c r="O28" s="1333"/>
      <c r="P28" s="1338"/>
      <c r="Q28" s="1323"/>
      <c r="R28" s="1338"/>
      <c r="S28" s="1323"/>
    </row>
    <row r="29" spans="1:19" s="778" customFormat="1" ht="19.5" customHeight="1" hidden="1">
      <c r="A29" s="1395"/>
      <c r="B29" s="1022"/>
      <c r="C29" s="1023"/>
      <c r="D29" s="1024"/>
      <c r="E29" s="1024"/>
      <c r="F29" s="832">
        <f>SUM(C29:E29)</f>
        <v>0</v>
      </c>
      <c r="G29" s="991"/>
      <c r="H29" s="1019"/>
      <c r="I29" s="1019"/>
      <c r="J29" s="1020"/>
      <c r="K29" s="832"/>
      <c r="L29" s="991">
        <f>C29-G29</f>
        <v>0</v>
      </c>
      <c r="M29" s="832">
        <f>F29-K29</f>
        <v>0</v>
      </c>
      <c r="N29" s="1322"/>
      <c r="O29" s="1333"/>
      <c r="P29" s="1338"/>
      <c r="Q29" s="1323"/>
      <c r="R29" s="1338"/>
      <c r="S29" s="1323"/>
    </row>
    <row r="30" spans="1:19" s="778" customFormat="1" ht="19.5" customHeight="1" hidden="1" thickBot="1">
      <c r="A30" s="1021"/>
      <c r="B30" s="1022"/>
      <c r="C30" s="1023"/>
      <c r="D30" s="1024"/>
      <c r="E30" s="1024"/>
      <c r="F30" s="832">
        <f>SUM(C30:E30)</f>
        <v>0</v>
      </c>
      <c r="G30" s="991"/>
      <c r="H30" s="1019"/>
      <c r="I30" s="1019"/>
      <c r="J30" s="1020"/>
      <c r="K30" s="832"/>
      <c r="L30" s="991">
        <f>C30-G30</f>
        <v>0</v>
      </c>
      <c r="M30" s="832">
        <f>F30-K30</f>
        <v>0</v>
      </c>
      <c r="N30" s="1324"/>
      <c r="O30" s="1334"/>
      <c r="P30" s="1339"/>
      <c r="Q30" s="1325"/>
      <c r="R30" s="1339"/>
      <c r="S30" s="1325"/>
    </row>
    <row r="31" spans="1:19" s="778" customFormat="1" ht="19.5" customHeight="1" hidden="1" thickBot="1" thickTop="1">
      <c r="A31" s="2465" t="s">
        <v>1579</v>
      </c>
      <c r="B31" s="2497"/>
      <c r="C31" s="828">
        <f>SUM(C27:C30)</f>
        <v>0</v>
      </c>
      <c r="D31" s="829">
        <f>SUM(D27:D30)</f>
        <v>0</v>
      </c>
      <c r="E31" s="829">
        <f>SUM(E27:E30)</f>
        <v>0</v>
      </c>
      <c r="F31" s="830">
        <f t="shared" si="0"/>
        <v>0</v>
      </c>
      <c r="G31" s="828"/>
      <c r="H31" s="829"/>
      <c r="I31" s="829"/>
      <c r="J31" s="996"/>
      <c r="K31" s="830"/>
      <c r="L31" s="828">
        <f t="shared" si="3"/>
        <v>0</v>
      </c>
      <c r="M31" s="830">
        <f t="shared" si="2"/>
        <v>0</v>
      </c>
      <c r="N31" s="1326">
        <f>ROUND(L31/1000,0)</f>
        <v>0</v>
      </c>
      <c r="O31" s="1335">
        <f>ROUND(M31/1000,0)</f>
        <v>0</v>
      </c>
      <c r="P31" s="1340"/>
      <c r="Q31" s="1341"/>
      <c r="R31" s="1330">
        <f>N31+P31</f>
        <v>0</v>
      </c>
      <c r="S31" s="1327">
        <f>O31+Q31</f>
        <v>0</v>
      </c>
    </row>
    <row r="32" spans="1:19" s="778" customFormat="1" ht="19.5" customHeight="1" thickBot="1" thickTop="1">
      <c r="A32" s="769"/>
      <c r="B32" s="769"/>
      <c r="C32" s="827"/>
      <c r="D32" s="827"/>
      <c r="E32" s="827"/>
      <c r="F32" s="827"/>
      <c r="G32" s="827"/>
      <c r="H32" s="827"/>
      <c r="I32" s="827"/>
      <c r="J32" s="827"/>
      <c r="K32" s="827"/>
      <c r="L32" s="827"/>
      <c r="M32" s="827"/>
      <c r="N32" s="1381"/>
      <c r="O32" s="1381"/>
      <c r="P32" s="1381"/>
      <c r="Q32" s="1381"/>
      <c r="R32" s="1381"/>
      <c r="S32" s="1381"/>
    </row>
    <row r="33" spans="1:19" s="778" customFormat="1" ht="19.5" customHeight="1" thickBot="1" thickTop="1">
      <c r="A33" s="2465" t="s">
        <v>1537</v>
      </c>
      <c r="B33" s="2497"/>
      <c r="C33" s="828">
        <f>SUM(C11,C16,C21,C26,C31)</f>
        <v>0</v>
      </c>
      <c r="D33" s="829">
        <f aca="true" t="shared" si="4" ref="D33:M33">SUM(D11,D16,D21,D26,D31)</f>
        <v>0</v>
      </c>
      <c r="E33" s="829">
        <f t="shared" si="4"/>
        <v>0</v>
      </c>
      <c r="F33" s="830">
        <f t="shared" si="4"/>
        <v>0</v>
      </c>
      <c r="G33" s="828">
        <f t="shared" si="4"/>
        <v>0</v>
      </c>
      <c r="H33" s="829">
        <f t="shared" si="4"/>
        <v>0</v>
      </c>
      <c r="I33" s="829">
        <f t="shared" si="4"/>
        <v>0</v>
      </c>
      <c r="J33" s="996">
        <f t="shared" si="4"/>
        <v>0</v>
      </c>
      <c r="K33" s="830">
        <f t="shared" si="4"/>
        <v>0</v>
      </c>
      <c r="L33" s="828">
        <f t="shared" si="4"/>
        <v>0</v>
      </c>
      <c r="M33" s="830">
        <f t="shared" si="4"/>
        <v>0</v>
      </c>
      <c r="N33" s="1344">
        <f>SUM(N31,N26,N21,N16,N11,N10)</f>
        <v>0</v>
      </c>
      <c r="O33" s="1344">
        <f>SUM(O31,O26,O21,O16,O11,O10)</f>
        <v>0</v>
      </c>
      <c r="P33" s="1344">
        <f>SUM(P31,P26,P21,P16,P11,P10)</f>
        <v>0</v>
      </c>
      <c r="Q33" s="1344">
        <f>SUM(Q31,Q26,Q21,Q16,Q11,Q10)</f>
        <v>0</v>
      </c>
      <c r="R33" s="1342">
        <f>ROUND(L33/1000,0)</f>
        <v>0</v>
      </c>
      <c r="S33" s="1343">
        <f>ROUND(M33/1000,0)</f>
        <v>0</v>
      </c>
    </row>
    <row r="34" spans="14:19" s="981" customFormat="1" ht="16.5" thickBot="1" thickTop="1">
      <c r="N34" s="388"/>
      <c r="O34" s="388"/>
      <c r="P34" s="388"/>
      <c r="Q34" s="388"/>
      <c r="R34" s="1345" t="str">
        <f>IF(R33-P33-N33=0,"OK",R33-P33-N33)</f>
        <v>OK</v>
      </c>
      <c r="S34" s="1345" t="str">
        <f>IF(S33-Q33-O33=0,"OK",S33-Q33-O33)</f>
        <v>OK</v>
      </c>
    </row>
    <row r="35" s="981" customFormat="1" ht="11.25"/>
  </sheetData>
  <sheetProtection/>
  <mergeCells count="13">
    <mergeCell ref="A21:B21"/>
    <mergeCell ref="A26:B26"/>
    <mergeCell ref="A33:B33"/>
    <mergeCell ref="G5:K5"/>
    <mergeCell ref="A31:B31"/>
    <mergeCell ref="A11:B11"/>
    <mergeCell ref="A16:B16"/>
    <mergeCell ref="A5:B6"/>
    <mergeCell ref="C5:F5"/>
    <mergeCell ref="N5:O5"/>
    <mergeCell ref="P5:Q5"/>
    <mergeCell ref="R5:S5"/>
    <mergeCell ref="L5:M5"/>
  </mergeCells>
  <printOptions horizontalCentered="1"/>
  <pageMargins left="0.7874015748031497" right="0.7874015748031497" top="0.5905511811023623" bottom="0.61" header="0.3937007874015748" footer="0.4"/>
  <pageSetup horizontalDpi="600" verticalDpi="600" orientation="landscape" paperSize="9" scale="80" r:id="rId3"/>
  <headerFooter alignWithMargins="0">
    <oddFooter>&amp;L&amp;U                                                &amp;U
        vállalkozás vezetője
             (képviselője)&amp;C&amp;P/&amp;N&amp;R&amp;A</oddFooter>
  </headerFooter>
  <legacyDrawing r:id="rId2"/>
</worksheet>
</file>

<file path=xl/worksheets/sheet53.xml><?xml version="1.0" encoding="utf-8"?>
<worksheet xmlns="http://schemas.openxmlformats.org/spreadsheetml/2006/main" xmlns:r="http://schemas.openxmlformats.org/officeDocument/2006/relationships">
  <sheetPr codeName="Munka45"/>
  <dimension ref="A1:P24"/>
  <sheetViews>
    <sheetView workbookViewId="0" topLeftCell="A1">
      <selection activeCell="A13" sqref="A13:B13"/>
    </sheetView>
  </sheetViews>
  <sheetFormatPr defaultColWidth="9.00390625" defaultRowHeight="12.75"/>
  <cols>
    <col min="1" max="1" width="11.125" style="1042" customWidth="1"/>
    <col min="2" max="2" width="34.75390625" style="1042" customWidth="1"/>
    <col min="3" max="8" width="10.75390625" style="1042" customWidth="1"/>
    <col min="9" max="9" width="10.375" style="1042" customWidth="1"/>
    <col min="10" max="10" width="11.125" style="1042" customWidth="1"/>
    <col min="11" max="11" width="10.75390625" style="1042" customWidth="1"/>
    <col min="12" max="12" width="10.625" style="1042" customWidth="1"/>
    <col min="13" max="14" width="10.75390625" style="1042" customWidth="1"/>
    <col min="15" max="16384" width="9.125" style="1042" customWidth="1"/>
  </cols>
  <sheetData>
    <row r="1" spans="1:14" s="1030" customFormat="1" ht="15">
      <c r="A1" s="1027" t="str">
        <f>'III.A.I-II'!A1</f>
        <v>Komáromi Távhő Kft</v>
      </c>
      <c r="B1" s="1028"/>
      <c r="C1" s="1028"/>
      <c r="D1" s="1028"/>
      <c r="E1" s="1028"/>
      <c r="F1" s="1028"/>
      <c r="G1" s="1028"/>
      <c r="H1" s="1028"/>
      <c r="I1" s="1028"/>
      <c r="J1" s="1029" t="str">
        <f>'L.A.III'!O1</f>
        <v>Pénzügyi leltár 2016. december 31.Hőszolgáltatás </v>
      </c>
      <c r="N1" s="1031"/>
    </row>
    <row r="2" spans="1:14" s="1030" customFormat="1" ht="15">
      <c r="A2" s="1027"/>
      <c r="B2" s="1028"/>
      <c r="C2" s="1028"/>
      <c r="D2" s="1028"/>
      <c r="E2" s="1028"/>
      <c r="F2" s="1028"/>
      <c r="G2" s="1028"/>
      <c r="H2" s="1028"/>
      <c r="I2" s="1028"/>
      <c r="J2" s="1028"/>
      <c r="N2" s="1031"/>
    </row>
    <row r="3" spans="1:11" s="1035" customFormat="1" ht="16.5">
      <c r="A3" s="1032" t="s">
        <v>622</v>
      </c>
      <c r="B3" s="1033"/>
      <c r="C3" s="1033"/>
      <c r="D3" s="1033"/>
      <c r="E3" s="1033"/>
      <c r="F3" s="1033"/>
      <c r="G3" s="1033"/>
      <c r="H3" s="1033"/>
      <c r="I3" s="1033"/>
      <c r="J3" s="1033"/>
      <c r="K3" s="1034"/>
    </row>
    <row r="4" spans="2:10" s="742" customFormat="1" ht="12" thickBot="1">
      <c r="B4" s="1036"/>
      <c r="I4" s="1060"/>
      <c r="J4" s="1061" t="str">
        <f>'L.B.III'!M4</f>
        <v>Adatok Ft-ban</v>
      </c>
    </row>
    <row r="5" spans="1:16" s="739" customFormat="1" ht="21" customHeight="1" thickBot="1">
      <c r="A5" s="2508" t="s">
        <v>1038</v>
      </c>
      <c r="B5" s="2511" t="s">
        <v>494</v>
      </c>
      <c r="C5" s="2505" t="s">
        <v>43</v>
      </c>
      <c r="D5" s="2506"/>
      <c r="E5" s="2506"/>
      <c r="F5" s="2506"/>
      <c r="G5" s="2506"/>
      <c r="H5" s="2506"/>
      <c r="I5" s="2506"/>
      <c r="J5" s="2507"/>
      <c r="K5" s="2490" t="s">
        <v>790</v>
      </c>
      <c r="L5" s="2491"/>
      <c r="M5" s="2492" t="s">
        <v>788</v>
      </c>
      <c r="N5" s="2493"/>
      <c r="O5" s="2494" t="s">
        <v>789</v>
      </c>
      <c r="P5" s="2493"/>
    </row>
    <row r="6" spans="1:16" s="739" customFormat="1" ht="21" customHeight="1" thickBot="1">
      <c r="A6" s="2509"/>
      <c r="B6" s="2512"/>
      <c r="C6" s="1044" t="s">
        <v>603</v>
      </c>
      <c r="D6" s="1045"/>
      <c r="E6" s="1045"/>
      <c r="F6" s="1046"/>
      <c r="G6" s="1044" t="s">
        <v>922</v>
      </c>
      <c r="H6" s="1045"/>
      <c r="I6" s="1045"/>
      <c r="J6" s="1046"/>
      <c r="K6" s="1515" t="s">
        <v>603</v>
      </c>
      <c r="L6" s="1516" t="s">
        <v>922</v>
      </c>
      <c r="M6" s="1517" t="s">
        <v>603</v>
      </c>
      <c r="N6" s="1518" t="s">
        <v>922</v>
      </c>
      <c r="O6" s="1515" t="s">
        <v>603</v>
      </c>
      <c r="P6" s="1518" t="s">
        <v>922</v>
      </c>
    </row>
    <row r="7" spans="1:16" s="739" customFormat="1" ht="30.75" customHeight="1" thickBot="1">
      <c r="A7" s="2510"/>
      <c r="B7" s="2513"/>
      <c r="C7" s="858" t="s">
        <v>1549</v>
      </c>
      <c r="D7" s="741" t="s">
        <v>509</v>
      </c>
      <c r="E7" s="741" t="s">
        <v>510</v>
      </c>
      <c r="F7" s="859" t="s">
        <v>621</v>
      </c>
      <c r="G7" s="858" t="s">
        <v>1549</v>
      </c>
      <c r="H7" s="741" t="s">
        <v>509</v>
      </c>
      <c r="I7" s="741" t="s">
        <v>510</v>
      </c>
      <c r="J7" s="859" t="s">
        <v>621</v>
      </c>
      <c r="L7" s="1043"/>
      <c r="M7" s="1531"/>
      <c r="N7" s="1532"/>
      <c r="O7" s="1531"/>
      <c r="P7" s="1532"/>
    </row>
    <row r="8" spans="1:16" s="744" customFormat="1" ht="21" customHeight="1" hidden="1">
      <c r="A8" s="1047"/>
      <c r="B8" s="1048"/>
      <c r="C8" s="868"/>
      <c r="D8" s="871"/>
      <c r="E8" s="1056"/>
      <c r="F8" s="1080">
        <f>D8*E8</f>
        <v>0</v>
      </c>
      <c r="G8" s="868"/>
      <c r="H8" s="871"/>
      <c r="I8" s="1056"/>
      <c r="J8" s="1080">
        <f>H8*I8</f>
        <v>0</v>
      </c>
      <c r="L8" s="1049"/>
      <c r="M8" s="1533"/>
      <c r="N8" s="1534"/>
      <c r="O8" s="1533"/>
      <c r="P8" s="1534"/>
    </row>
    <row r="9" spans="1:16" s="744" customFormat="1" ht="21" customHeight="1">
      <c r="A9" s="1047"/>
      <c r="B9" s="1048"/>
      <c r="C9" s="881"/>
      <c r="D9" s="883"/>
      <c r="E9" s="1057"/>
      <c r="F9" s="1080">
        <f>D9*E9</f>
        <v>0</v>
      </c>
      <c r="G9" s="881"/>
      <c r="H9" s="883"/>
      <c r="I9" s="1057"/>
      <c r="J9" s="1080">
        <f>H9*I9</f>
        <v>0</v>
      </c>
      <c r="L9" s="1043"/>
      <c r="M9" s="1533"/>
      <c r="N9" s="1534"/>
      <c r="O9" s="1533"/>
      <c r="P9" s="1534"/>
    </row>
    <row r="10" spans="1:16" s="744" customFormat="1" ht="21" customHeight="1">
      <c r="A10" s="1047"/>
      <c r="B10" s="1048"/>
      <c r="C10" s="881"/>
      <c r="D10" s="883"/>
      <c r="E10" s="1057"/>
      <c r="F10" s="1080">
        <f>D10*E10</f>
        <v>0</v>
      </c>
      <c r="G10" s="881"/>
      <c r="H10" s="883"/>
      <c r="I10" s="1057"/>
      <c r="J10" s="1080">
        <f>H10*I10</f>
        <v>0</v>
      </c>
      <c r="M10" s="1533"/>
      <c r="N10" s="1534"/>
      <c r="O10" s="1533"/>
      <c r="P10" s="1534"/>
    </row>
    <row r="11" spans="1:16" s="744" customFormat="1" ht="21" customHeight="1">
      <c r="A11" s="1050"/>
      <c r="B11" s="1051"/>
      <c r="C11" s="881"/>
      <c r="D11" s="883"/>
      <c r="E11" s="1057"/>
      <c r="F11" s="1080">
        <f>D11*E11</f>
        <v>0</v>
      </c>
      <c r="G11" s="881"/>
      <c r="H11" s="883"/>
      <c r="I11" s="1057"/>
      <c r="J11" s="1080">
        <f>H11*I11</f>
        <v>0</v>
      </c>
      <c r="M11" s="1533"/>
      <c r="N11" s="1534"/>
      <c r="O11" s="1533"/>
      <c r="P11" s="1534"/>
    </row>
    <row r="12" spans="1:16" s="744" customFormat="1" ht="21" customHeight="1" thickBot="1">
      <c r="A12" s="1052"/>
      <c r="B12" s="1053"/>
      <c r="C12" s="888"/>
      <c r="D12" s="891"/>
      <c r="E12" s="1058"/>
      <c r="F12" s="1080">
        <f>D12*E12</f>
        <v>0</v>
      </c>
      <c r="G12" s="888"/>
      <c r="H12" s="891"/>
      <c r="I12" s="1058"/>
      <c r="J12" s="1080">
        <f>H12*I12</f>
        <v>0</v>
      </c>
      <c r="M12" s="1533"/>
      <c r="N12" s="1534"/>
      <c r="O12" s="1533"/>
      <c r="P12" s="1534"/>
    </row>
    <row r="13" spans="1:16" s="744" customFormat="1" ht="21" customHeight="1" thickBot="1">
      <c r="A13" s="2333" t="s">
        <v>227</v>
      </c>
      <c r="B13" s="2485"/>
      <c r="C13" s="909"/>
      <c r="D13" s="907">
        <f>SUM(D8:D12)</f>
        <v>0</v>
      </c>
      <c r="E13" s="1059"/>
      <c r="F13" s="908">
        <f>SUM(F8:F12)</f>
        <v>0</v>
      </c>
      <c r="G13" s="909"/>
      <c r="H13" s="907">
        <f>SUM(H8:H12)</f>
        <v>0</v>
      </c>
      <c r="I13" s="1059"/>
      <c r="J13" s="862">
        <f>SUM(J8:J12)</f>
        <v>0</v>
      </c>
      <c r="K13" s="1326">
        <f>ROUND(F13/1000,0)</f>
        <v>0</v>
      </c>
      <c r="L13" s="1335">
        <f>ROUND(J13/1000,0)</f>
        <v>0</v>
      </c>
      <c r="M13" s="1340"/>
      <c r="N13" s="1341"/>
      <c r="O13" s="1330">
        <f>K13+M13</f>
        <v>0</v>
      </c>
      <c r="P13" s="1327">
        <f>L13+N13</f>
        <v>0</v>
      </c>
    </row>
    <row r="14" spans="1:16" s="744" customFormat="1" ht="21" customHeight="1" hidden="1">
      <c r="A14" s="1054"/>
      <c r="B14" s="1055"/>
      <c r="C14" s="868"/>
      <c r="D14" s="871"/>
      <c r="E14" s="1056"/>
      <c r="F14" s="1080">
        <f>D14*E14</f>
        <v>0</v>
      </c>
      <c r="G14" s="868"/>
      <c r="H14" s="871"/>
      <c r="I14" s="1056"/>
      <c r="J14" s="1080">
        <f>H14*I14</f>
        <v>0</v>
      </c>
      <c r="M14" s="1533"/>
      <c r="N14" s="1534"/>
      <c r="O14" s="1533"/>
      <c r="P14" s="1534"/>
    </row>
    <row r="15" spans="1:16" s="744" customFormat="1" ht="21" customHeight="1">
      <c r="A15" s="1047"/>
      <c r="B15" s="867"/>
      <c r="C15" s="881"/>
      <c r="D15" s="883"/>
      <c r="E15" s="1057"/>
      <c r="F15" s="1080">
        <f>D15*E15</f>
        <v>0</v>
      </c>
      <c r="G15" s="881"/>
      <c r="H15" s="883"/>
      <c r="I15" s="1057"/>
      <c r="J15" s="1080">
        <f>H15*I15</f>
        <v>0</v>
      </c>
      <c r="M15" s="1533"/>
      <c r="N15" s="1534"/>
      <c r="O15" s="1533"/>
      <c r="P15" s="1534"/>
    </row>
    <row r="16" spans="1:16" s="744" customFormat="1" ht="21" customHeight="1">
      <c r="A16" s="1047"/>
      <c r="B16" s="867"/>
      <c r="C16" s="881"/>
      <c r="D16" s="883"/>
      <c r="E16" s="1057"/>
      <c r="F16" s="1080">
        <f>D16*E16</f>
        <v>0</v>
      </c>
      <c r="G16" s="881"/>
      <c r="H16" s="883"/>
      <c r="I16" s="1057"/>
      <c r="J16" s="1080">
        <f>H16*I16</f>
        <v>0</v>
      </c>
      <c r="M16" s="1533"/>
      <c r="N16" s="1534"/>
      <c r="O16" s="1533"/>
      <c r="P16" s="1534"/>
    </row>
    <row r="17" spans="1:16" s="744" customFormat="1" ht="21" customHeight="1">
      <c r="A17" s="1047"/>
      <c r="B17" s="867"/>
      <c r="C17" s="881"/>
      <c r="D17" s="883"/>
      <c r="E17" s="1057"/>
      <c r="F17" s="1080">
        <f>D17*E17</f>
        <v>0</v>
      </c>
      <c r="G17" s="881"/>
      <c r="H17" s="883"/>
      <c r="I17" s="1057"/>
      <c r="J17" s="1080">
        <f>H17*I17</f>
        <v>0</v>
      </c>
      <c r="M17" s="1533"/>
      <c r="N17" s="1534"/>
      <c r="O17" s="1533"/>
      <c r="P17" s="1534"/>
    </row>
    <row r="18" spans="1:16" s="744" customFormat="1" ht="21" customHeight="1" thickBot="1">
      <c r="A18" s="1047"/>
      <c r="B18" s="867"/>
      <c r="C18" s="881"/>
      <c r="D18" s="883"/>
      <c r="E18" s="1057"/>
      <c r="F18" s="1080">
        <f>D18*E18</f>
        <v>0</v>
      </c>
      <c r="G18" s="881"/>
      <c r="H18" s="883"/>
      <c r="I18" s="1057"/>
      <c r="J18" s="1080">
        <f>H18*I18</f>
        <v>0</v>
      </c>
      <c r="M18" s="1535"/>
      <c r="N18" s="1536"/>
      <c r="O18" s="1535"/>
      <c r="P18" s="1536"/>
    </row>
    <row r="19" spans="1:16" s="744" customFormat="1" ht="21" customHeight="1" thickBot="1">
      <c r="A19" s="2333" t="s">
        <v>228</v>
      </c>
      <c r="B19" s="2504"/>
      <c r="C19" s="909"/>
      <c r="D19" s="907">
        <f>SUM(D14:D18)</f>
        <v>0</v>
      </c>
      <c r="E19" s="1059"/>
      <c r="F19" s="908">
        <f>SUM(F14:F18)</f>
        <v>0</v>
      </c>
      <c r="G19" s="909"/>
      <c r="H19" s="907">
        <f>SUM(H14:H18)</f>
        <v>0</v>
      </c>
      <c r="I19" s="1059"/>
      <c r="J19" s="862">
        <f>SUM(J14:J18)</f>
        <v>0</v>
      </c>
      <c r="K19" s="1326">
        <f>ROUND(F19/1000,0)</f>
        <v>0</v>
      </c>
      <c r="L19" s="1335">
        <f>ROUND(J19/1000,0)</f>
        <v>0</v>
      </c>
      <c r="M19" s="1340"/>
      <c r="N19" s="1341"/>
      <c r="O19" s="1330">
        <f>K19+M19</f>
        <v>0</v>
      </c>
      <c r="P19" s="1327">
        <f>L19+N19</f>
        <v>0</v>
      </c>
    </row>
    <row r="20" spans="1:14" s="743" customFormat="1" ht="19.5" customHeight="1" thickBot="1">
      <c r="A20" s="1037"/>
      <c r="B20" s="1037"/>
      <c r="C20" s="1038"/>
      <c r="D20" s="1038"/>
      <c r="E20" s="1038"/>
      <c r="F20" s="1038"/>
      <c r="G20" s="1038"/>
      <c r="H20" s="1038"/>
      <c r="I20" s="1038"/>
      <c r="J20" s="1038"/>
      <c r="K20" s="1039"/>
      <c r="L20" s="1039"/>
      <c r="M20" s="1039"/>
      <c r="N20" s="1039"/>
    </row>
    <row r="21" spans="1:16" s="743" customFormat="1" ht="19.5" customHeight="1" thickBot="1">
      <c r="A21" s="2331" t="s">
        <v>232</v>
      </c>
      <c r="B21" s="2503"/>
      <c r="C21" s="909"/>
      <c r="D21" s="907"/>
      <c r="E21" s="1059"/>
      <c r="F21" s="1537">
        <f>SUM(F13,F19)</f>
        <v>0</v>
      </c>
      <c r="G21" s="909"/>
      <c r="H21" s="907"/>
      <c r="I21" s="1059"/>
      <c r="J21" s="876">
        <f>SUM(J13,J19)</f>
        <v>0</v>
      </c>
      <c r="K21" s="1530">
        <f>SUM(K13,K19)</f>
        <v>0</v>
      </c>
      <c r="L21" s="1530">
        <f>SUM(L13,L19)</f>
        <v>0</v>
      </c>
      <c r="M21" s="1530">
        <f>SUM(M13,M19)</f>
        <v>0</v>
      </c>
      <c r="N21" s="1530">
        <f>SUM(N13,N19)</f>
        <v>0</v>
      </c>
      <c r="O21" s="1342">
        <f>ROUND(F21/1000,0)</f>
        <v>0</v>
      </c>
      <c r="P21" s="1343">
        <f>ROUND(J21/1000,0)</f>
        <v>0</v>
      </c>
    </row>
    <row r="22" spans="1:16" s="743" customFormat="1" ht="19.5" customHeight="1" thickBot="1">
      <c r="A22" s="742"/>
      <c r="B22" s="1036"/>
      <c r="C22" s="1039"/>
      <c r="D22" s="1039"/>
      <c r="E22" s="1039"/>
      <c r="F22" s="1039"/>
      <c r="G22" s="1039"/>
      <c r="H22" s="1039"/>
      <c r="I22" s="1039"/>
      <c r="J22" s="1039"/>
      <c r="K22" s="388"/>
      <c r="L22" s="388"/>
      <c r="M22" s="388"/>
      <c r="N22" s="388"/>
      <c r="O22" s="1529" t="str">
        <f>IF(O21-M21-K21=0,"OK",O21-M21-K21)</f>
        <v>OK</v>
      </c>
      <c r="P22" s="1529" t="str">
        <f>IF(P21-N21-L21=0,"OK",P21-N21-L21)</f>
        <v>OK</v>
      </c>
    </row>
    <row r="23" spans="1:14" s="743" customFormat="1" ht="19.5" customHeight="1">
      <c r="A23" s="742"/>
      <c r="B23" s="742"/>
      <c r="C23" s="1039"/>
      <c r="D23" s="1039"/>
      <c r="E23" s="1039"/>
      <c r="F23" s="1039"/>
      <c r="G23" s="1039"/>
      <c r="H23" s="1039"/>
      <c r="I23" s="1039"/>
      <c r="J23" s="1039"/>
      <c r="K23" s="1039"/>
      <c r="L23" s="1039"/>
      <c r="M23" s="1039"/>
      <c r="N23" s="1039"/>
    </row>
    <row r="24" spans="1:15" s="743" customFormat="1" ht="19.5" customHeight="1">
      <c r="A24" s="742"/>
      <c r="B24" s="1036"/>
      <c r="C24" s="1039"/>
      <c r="D24" s="1039"/>
      <c r="E24" s="1039"/>
      <c r="F24" s="1039"/>
      <c r="G24" s="1039"/>
      <c r="H24" s="1039"/>
      <c r="I24" s="1039"/>
      <c r="J24" s="1039"/>
      <c r="K24" s="1039"/>
      <c r="L24" s="1039"/>
      <c r="M24" s="1039"/>
      <c r="N24" s="1039"/>
      <c r="O24" s="1040"/>
    </row>
    <row r="25" s="1041" customFormat="1" ht="11.25"/>
    <row r="26" s="1041" customFormat="1" ht="11.25"/>
  </sheetData>
  <mergeCells count="9">
    <mergeCell ref="K5:L5"/>
    <mergeCell ref="M5:N5"/>
    <mergeCell ref="O5:P5"/>
    <mergeCell ref="A21:B21"/>
    <mergeCell ref="A19:B19"/>
    <mergeCell ref="C5:J5"/>
    <mergeCell ref="A5:A7"/>
    <mergeCell ref="B5:B7"/>
    <mergeCell ref="A13:B13"/>
  </mergeCells>
  <printOptions horizontalCentered="1"/>
  <pageMargins left="0.7874015748031497" right="0.7874015748031497" top="0.5905511811023623" bottom="0.61" header="0.3937007874015748" footer="0.4"/>
  <pageSetup horizontalDpi="600" verticalDpi="600" orientation="landscape" paperSize="9" r:id="rId1"/>
  <headerFooter alignWithMargins="0">
    <oddFooter>&amp;L&amp;U                                                &amp;U
        vállalkozás vezetője
             (képviselője)&amp;C&amp;P/&amp;N&amp;R&amp;A</oddFooter>
  </headerFooter>
</worksheet>
</file>

<file path=xl/worksheets/sheet54.xml><?xml version="1.0" encoding="utf-8"?>
<worksheet xmlns="http://schemas.openxmlformats.org/spreadsheetml/2006/main" xmlns:r="http://schemas.openxmlformats.org/officeDocument/2006/relationships">
  <sheetPr codeName="Munka46"/>
  <dimension ref="A1:Q26"/>
  <sheetViews>
    <sheetView workbookViewId="0" topLeftCell="B1">
      <selection activeCell="J5" sqref="J5:K5"/>
    </sheetView>
  </sheetViews>
  <sheetFormatPr defaultColWidth="9.00390625" defaultRowHeight="12.75"/>
  <cols>
    <col min="1" max="1" width="11.125" style="1042" customWidth="1"/>
    <col min="2" max="2" width="34.75390625" style="1042" customWidth="1"/>
    <col min="3" max="10" width="10.75390625" style="1042" customWidth="1"/>
    <col min="11" max="11" width="10.625" style="1042" customWidth="1"/>
    <col min="12" max="16384" width="9.125" style="1042" customWidth="1"/>
  </cols>
  <sheetData>
    <row r="1" spans="1:11" s="1030" customFormat="1" ht="15">
      <c r="A1" s="1027" t="str">
        <f>'III.A.I-II'!A1</f>
        <v>Komáromi Távhő Kft</v>
      </c>
      <c r="B1" s="1028"/>
      <c r="C1" s="1028"/>
      <c r="D1" s="1028"/>
      <c r="E1" s="1028"/>
      <c r="F1" s="1028"/>
      <c r="G1" s="1028"/>
      <c r="H1" s="1028"/>
      <c r="K1" s="1029" t="str">
        <f>'L.A.III'!O1</f>
        <v>Pénzügyi leltár 2016. december 31.Hőszolgáltatás </v>
      </c>
    </row>
    <row r="2" spans="1:9" s="1030" customFormat="1" ht="15">
      <c r="A2" s="1027"/>
      <c r="B2" s="1028"/>
      <c r="C2" s="1028"/>
      <c r="D2" s="1028"/>
      <c r="E2" s="1028"/>
      <c r="F2" s="1028"/>
      <c r="G2" s="1028"/>
      <c r="H2" s="1028"/>
      <c r="I2" s="1028"/>
    </row>
    <row r="3" spans="1:11" s="1035" customFormat="1" ht="16.5">
      <c r="A3" s="1032" t="s">
        <v>772</v>
      </c>
      <c r="B3" s="1033"/>
      <c r="C3" s="1033"/>
      <c r="D3" s="1033"/>
      <c r="E3" s="1033"/>
      <c r="F3" s="1033"/>
      <c r="G3" s="1033"/>
      <c r="H3" s="1033"/>
      <c r="I3" s="1033"/>
      <c r="J3" s="1062"/>
      <c r="K3" s="1063"/>
    </row>
    <row r="4" spans="1:11" s="1894" customFormat="1" ht="21" customHeight="1" thickBot="1">
      <c r="A4" s="1891"/>
      <c r="B4" s="1892"/>
      <c r="C4" s="1891"/>
      <c r="D4" s="1891"/>
      <c r="E4" s="1891"/>
      <c r="F4" s="1891"/>
      <c r="G4" s="1891"/>
      <c r="H4" s="1891"/>
      <c r="I4" s="1891"/>
      <c r="J4" s="1891"/>
      <c r="K4" s="1893" t="str">
        <f>'L.B.IV'!J4</f>
        <v>Adatok Ft-ban</v>
      </c>
    </row>
    <row r="5" spans="1:17" s="739" customFormat="1" ht="21" customHeight="1">
      <c r="A5" s="2482" t="s">
        <v>1582</v>
      </c>
      <c r="B5" s="2475" t="s">
        <v>494</v>
      </c>
      <c r="C5" s="2477" t="s">
        <v>606</v>
      </c>
      <c r="D5" s="2360"/>
      <c r="E5" s="2515" t="s">
        <v>42</v>
      </c>
      <c r="F5" s="2516"/>
      <c r="G5" s="2516"/>
      <c r="H5" s="2516"/>
      <c r="I5" s="2517"/>
      <c r="J5" s="2477" t="s">
        <v>43</v>
      </c>
      <c r="K5" s="2360"/>
      <c r="L5" s="2490" t="s">
        <v>790</v>
      </c>
      <c r="M5" s="2491"/>
      <c r="N5" s="2492" t="s">
        <v>788</v>
      </c>
      <c r="O5" s="2493"/>
      <c r="P5" s="2494" t="s">
        <v>789</v>
      </c>
      <c r="Q5" s="2493"/>
    </row>
    <row r="6" spans="1:17" s="739" customFormat="1" ht="21" customHeight="1" thickBot="1">
      <c r="A6" s="2483"/>
      <c r="B6" s="2476"/>
      <c r="C6" s="858" t="s">
        <v>603</v>
      </c>
      <c r="D6" s="859" t="s">
        <v>922</v>
      </c>
      <c r="E6" s="1895" t="s">
        <v>603</v>
      </c>
      <c r="F6" s="1896" t="s">
        <v>604</v>
      </c>
      <c r="G6" s="1896" t="s">
        <v>605</v>
      </c>
      <c r="H6" s="1896" t="s">
        <v>57</v>
      </c>
      <c r="I6" s="1897" t="s">
        <v>922</v>
      </c>
      <c r="J6" s="858" t="s">
        <v>603</v>
      </c>
      <c r="K6" s="859" t="s">
        <v>922</v>
      </c>
      <c r="L6" s="1515" t="s">
        <v>603</v>
      </c>
      <c r="M6" s="1516" t="s">
        <v>922</v>
      </c>
      <c r="N6" s="1517" t="s">
        <v>603</v>
      </c>
      <c r="O6" s="1518" t="s">
        <v>922</v>
      </c>
      <c r="P6" s="1515" t="s">
        <v>603</v>
      </c>
      <c r="Q6" s="1518" t="s">
        <v>922</v>
      </c>
    </row>
    <row r="7" spans="1:11" s="744" customFormat="1" ht="21" customHeight="1" hidden="1">
      <c r="A7" s="928"/>
      <c r="B7" s="929"/>
      <c r="C7" s="1898"/>
      <c r="D7" s="1899"/>
      <c r="E7" s="1900"/>
      <c r="F7" s="1901"/>
      <c r="G7" s="1901"/>
      <c r="H7" s="1901"/>
      <c r="I7" s="1902">
        <f>E7+F7-G7-H7</f>
        <v>0</v>
      </c>
      <c r="J7" s="1903">
        <f aca="true" t="shared" si="0" ref="J7:J21">C7-E7</f>
        <v>0</v>
      </c>
      <c r="K7" s="1904">
        <f aca="true" t="shared" si="1" ref="K7:K21">D7-I7</f>
        <v>0</v>
      </c>
    </row>
    <row r="8" spans="1:17" s="744" customFormat="1" ht="21" customHeight="1">
      <c r="A8" s="901"/>
      <c r="B8" s="914"/>
      <c r="C8" s="1905"/>
      <c r="D8" s="1906"/>
      <c r="E8" s="1907"/>
      <c r="F8" s="1908"/>
      <c r="G8" s="1908"/>
      <c r="H8" s="1908"/>
      <c r="I8" s="1909">
        <f>E8+F8-G8-H8</f>
        <v>0</v>
      </c>
      <c r="J8" s="1910">
        <f t="shared" si="0"/>
        <v>0</v>
      </c>
      <c r="K8" s="1911">
        <f t="shared" si="1"/>
        <v>0</v>
      </c>
      <c r="L8" s="1520"/>
      <c r="M8" s="1521"/>
      <c r="N8" s="1520"/>
      <c r="O8" s="1521"/>
      <c r="P8" s="1522"/>
      <c r="Q8" s="1521"/>
    </row>
    <row r="9" spans="1:17" s="744" customFormat="1" ht="21" customHeight="1">
      <c r="A9" s="901"/>
      <c r="B9" s="914"/>
      <c r="C9" s="1905"/>
      <c r="D9" s="1906"/>
      <c r="E9" s="1907"/>
      <c r="F9" s="1908"/>
      <c r="G9" s="1908"/>
      <c r="H9" s="1908"/>
      <c r="I9" s="1909">
        <f>E9+F9-G9-H9</f>
        <v>0</v>
      </c>
      <c r="J9" s="1910">
        <f>C9-E9</f>
        <v>0</v>
      </c>
      <c r="K9" s="1911">
        <f>D9-I9</f>
        <v>0</v>
      </c>
      <c r="L9" s="1523"/>
      <c r="M9" s="1524"/>
      <c r="N9" s="1523"/>
      <c r="O9" s="1524"/>
      <c r="P9" s="1525"/>
      <c r="Q9" s="1524"/>
    </row>
    <row r="10" spans="1:17" s="744" customFormat="1" ht="21" customHeight="1" thickBot="1">
      <c r="A10" s="936"/>
      <c r="B10" s="937"/>
      <c r="C10" s="1905"/>
      <c r="D10" s="1906"/>
      <c r="E10" s="1912"/>
      <c r="F10" s="1913"/>
      <c r="G10" s="1913"/>
      <c r="H10" s="1913"/>
      <c r="I10" s="1914">
        <f>E10+F10-G10-H10</f>
        <v>0</v>
      </c>
      <c r="J10" s="1915">
        <f t="shared" si="0"/>
        <v>0</v>
      </c>
      <c r="K10" s="1916">
        <f t="shared" si="1"/>
        <v>0</v>
      </c>
      <c r="L10" s="1526"/>
      <c r="M10" s="1527"/>
      <c r="N10" s="1526"/>
      <c r="O10" s="1527"/>
      <c r="P10" s="1528"/>
      <c r="Q10" s="1527"/>
    </row>
    <row r="11" spans="1:17" s="744" customFormat="1" ht="21" customHeight="1" thickBot="1">
      <c r="A11" s="2335" t="s">
        <v>58</v>
      </c>
      <c r="B11" s="2370"/>
      <c r="C11" s="1917">
        <f>SUM(C7:C10)</f>
        <v>0</v>
      </c>
      <c r="D11" s="1918">
        <f aca="true" t="shared" si="2" ref="D11:I11">SUM(D7:D10)</f>
        <v>0</v>
      </c>
      <c r="E11" s="1917">
        <f t="shared" si="2"/>
        <v>0</v>
      </c>
      <c r="F11" s="1919">
        <f t="shared" si="2"/>
        <v>0</v>
      </c>
      <c r="G11" s="1919">
        <f t="shared" si="2"/>
        <v>0</v>
      </c>
      <c r="H11" s="1919">
        <f t="shared" si="2"/>
        <v>0</v>
      </c>
      <c r="I11" s="1918">
        <f t="shared" si="2"/>
        <v>0</v>
      </c>
      <c r="J11" s="1917">
        <f t="shared" si="0"/>
        <v>0</v>
      </c>
      <c r="K11" s="1918">
        <f t="shared" si="1"/>
        <v>0</v>
      </c>
      <c r="L11" s="1326">
        <f>ROUND(J11/1000,0)</f>
        <v>0</v>
      </c>
      <c r="M11" s="1335">
        <f>ROUND(K11/1000,0)</f>
        <v>0</v>
      </c>
      <c r="N11" s="1340"/>
      <c r="O11" s="1341"/>
      <c r="P11" s="1330">
        <f>L11+N11</f>
        <v>0</v>
      </c>
      <c r="Q11" s="1327">
        <f>M11+O11</f>
        <v>0</v>
      </c>
    </row>
    <row r="12" spans="1:17" s="744" customFormat="1" ht="21" customHeight="1" hidden="1">
      <c r="A12" s="928"/>
      <c r="B12" s="1920"/>
      <c r="C12" s="1898"/>
      <c r="D12" s="1899"/>
      <c r="E12" s="1921"/>
      <c r="F12" s="1922"/>
      <c r="G12" s="1922"/>
      <c r="H12" s="1922"/>
      <c r="I12" s="1923"/>
      <c r="J12" s="1903">
        <f t="shared" si="0"/>
        <v>0</v>
      </c>
      <c r="K12" s="1904">
        <f t="shared" si="1"/>
        <v>0</v>
      </c>
      <c r="L12" s="1522"/>
      <c r="M12" s="1521"/>
      <c r="N12" s="1520"/>
      <c r="O12" s="1521"/>
      <c r="P12" s="1520"/>
      <c r="Q12" s="1521"/>
    </row>
    <row r="13" spans="1:17" s="744" customFormat="1" ht="21" customHeight="1">
      <c r="A13" s="901"/>
      <c r="B13" s="2037"/>
      <c r="C13" s="1905"/>
      <c r="D13" s="1906"/>
      <c r="E13" s="1924"/>
      <c r="F13" s="1925"/>
      <c r="G13" s="1925"/>
      <c r="H13" s="1925"/>
      <c r="I13" s="1926"/>
      <c r="J13" s="1910">
        <f t="shared" si="0"/>
        <v>0</v>
      </c>
      <c r="K13" s="1911">
        <f t="shared" si="1"/>
        <v>0</v>
      </c>
      <c r="L13" s="1333"/>
      <c r="M13" s="1323"/>
      <c r="N13" s="1338"/>
      <c r="O13" s="1323"/>
      <c r="P13" s="1338"/>
      <c r="Q13" s="1323"/>
    </row>
    <row r="14" spans="1:17" s="744" customFormat="1" ht="21" customHeight="1">
      <c r="A14" s="901"/>
      <c r="B14" s="2037"/>
      <c r="C14" s="1905"/>
      <c r="D14" s="1906"/>
      <c r="E14" s="1924"/>
      <c r="F14" s="1925"/>
      <c r="G14" s="1925"/>
      <c r="H14" s="1925"/>
      <c r="I14" s="1926"/>
      <c r="J14" s="1910">
        <f>C14-E14</f>
        <v>0</v>
      </c>
      <c r="K14" s="1911">
        <f>D14-I14</f>
        <v>0</v>
      </c>
      <c r="L14" s="1333"/>
      <c r="M14" s="1323"/>
      <c r="N14" s="1338"/>
      <c r="O14" s="1323"/>
      <c r="P14" s="1338"/>
      <c r="Q14" s="1323"/>
    </row>
    <row r="15" spans="1:17" s="744" customFormat="1" ht="21" customHeight="1" thickBot="1">
      <c r="A15" s="936"/>
      <c r="B15" s="2038"/>
      <c r="C15" s="1927"/>
      <c r="D15" s="1928"/>
      <c r="E15" s="1929"/>
      <c r="F15" s="1930"/>
      <c r="G15" s="1930"/>
      <c r="H15" s="1930"/>
      <c r="I15" s="1931"/>
      <c r="J15" s="1915">
        <f t="shared" si="0"/>
        <v>0</v>
      </c>
      <c r="K15" s="1916">
        <f t="shared" si="1"/>
        <v>0</v>
      </c>
      <c r="L15" s="1334"/>
      <c r="M15" s="1325"/>
      <c r="N15" s="1339"/>
      <c r="O15" s="1325"/>
      <c r="P15" s="1339"/>
      <c r="Q15" s="1325"/>
    </row>
    <row r="16" spans="1:17" s="744" customFormat="1" ht="21" customHeight="1" thickBot="1">
      <c r="A16" s="2335" t="s">
        <v>1002</v>
      </c>
      <c r="B16" s="2370"/>
      <c r="C16" s="1917">
        <f>SUM(C12:C15)</f>
        <v>0</v>
      </c>
      <c r="D16" s="1918">
        <f>SUM(D12:D15)</f>
        <v>0</v>
      </c>
      <c r="E16" s="1932"/>
      <c r="F16" s="1933"/>
      <c r="G16" s="1933"/>
      <c r="H16" s="1933"/>
      <c r="I16" s="1934"/>
      <c r="J16" s="1917">
        <f t="shared" si="0"/>
        <v>0</v>
      </c>
      <c r="K16" s="1918">
        <f t="shared" si="1"/>
        <v>0</v>
      </c>
      <c r="L16" s="1326">
        <f>ROUND(J16/1000,0)</f>
        <v>0</v>
      </c>
      <c r="M16" s="1335">
        <f>ROUND(K16/1000,0)</f>
        <v>0</v>
      </c>
      <c r="N16" s="1340"/>
      <c r="O16" s="1341"/>
      <c r="P16" s="1330">
        <f>L16+N16</f>
        <v>0</v>
      </c>
      <c r="Q16" s="1327">
        <f>M16+O16</f>
        <v>0</v>
      </c>
    </row>
    <row r="17" spans="1:17" s="744" customFormat="1" ht="21" customHeight="1" hidden="1">
      <c r="A17" s="928"/>
      <c r="B17" s="929"/>
      <c r="C17" s="1898"/>
      <c r="D17" s="1899"/>
      <c r="E17" s="1921"/>
      <c r="F17" s="1922"/>
      <c r="G17" s="1922"/>
      <c r="H17" s="1922"/>
      <c r="I17" s="1923"/>
      <c r="J17" s="1903">
        <f t="shared" si="0"/>
        <v>0</v>
      </c>
      <c r="K17" s="1904">
        <f t="shared" si="1"/>
        <v>0</v>
      </c>
      <c r="L17" s="1332"/>
      <c r="M17" s="1332"/>
      <c r="N17" s="1337"/>
      <c r="O17" s="1321"/>
      <c r="P17" s="1337"/>
      <c r="Q17" s="1321"/>
    </row>
    <row r="18" spans="1:17" s="744" customFormat="1" ht="21" customHeight="1">
      <c r="A18" s="901"/>
      <c r="B18" s="914"/>
      <c r="C18" s="1905"/>
      <c r="D18" s="1906"/>
      <c r="E18" s="1924"/>
      <c r="F18" s="1925"/>
      <c r="G18" s="1925"/>
      <c r="H18" s="1925"/>
      <c r="I18" s="1926"/>
      <c r="J18" s="1910">
        <f t="shared" si="0"/>
        <v>0</v>
      </c>
      <c r="K18" s="1911">
        <f t="shared" si="1"/>
        <v>0</v>
      </c>
      <c r="L18" s="1333"/>
      <c r="M18" s="1333"/>
      <c r="N18" s="1338"/>
      <c r="O18" s="1323"/>
      <c r="P18" s="1338"/>
      <c r="Q18" s="1323"/>
    </row>
    <row r="19" spans="1:17" s="744" customFormat="1" ht="21" customHeight="1">
      <c r="A19" s="901"/>
      <c r="B19" s="914"/>
      <c r="C19" s="1905"/>
      <c r="D19" s="1906"/>
      <c r="E19" s="1924"/>
      <c r="F19" s="1925"/>
      <c r="G19" s="1925"/>
      <c r="H19" s="1925"/>
      <c r="I19" s="1926"/>
      <c r="J19" s="1910">
        <f>C19-E19</f>
        <v>0</v>
      </c>
      <c r="K19" s="1911">
        <f>D19-I19</f>
        <v>0</v>
      </c>
      <c r="L19" s="1333"/>
      <c r="M19" s="1333"/>
      <c r="N19" s="1338"/>
      <c r="O19" s="1323"/>
      <c r="P19" s="1338"/>
      <c r="Q19" s="1323"/>
    </row>
    <row r="20" spans="1:17" s="744" customFormat="1" ht="21" customHeight="1" thickBot="1">
      <c r="A20" s="936"/>
      <c r="B20" s="937"/>
      <c r="C20" s="1927"/>
      <c r="D20" s="1928"/>
      <c r="E20" s="1929"/>
      <c r="F20" s="1930"/>
      <c r="G20" s="1930"/>
      <c r="H20" s="1930"/>
      <c r="I20" s="1931"/>
      <c r="J20" s="1915">
        <f t="shared" si="0"/>
        <v>0</v>
      </c>
      <c r="K20" s="1916">
        <f t="shared" si="1"/>
        <v>0</v>
      </c>
      <c r="L20" s="1334"/>
      <c r="M20" s="1334"/>
      <c r="N20" s="1339"/>
      <c r="O20" s="1325"/>
      <c r="P20" s="1339"/>
      <c r="Q20" s="1325"/>
    </row>
    <row r="21" spans="1:17" s="744" customFormat="1" ht="21" customHeight="1" thickBot="1">
      <c r="A21" s="2335" t="s">
        <v>1003</v>
      </c>
      <c r="B21" s="2370"/>
      <c r="C21" s="1917">
        <f>SUM(C17:C20)</f>
        <v>0</v>
      </c>
      <c r="D21" s="1918">
        <f>SUM(D17:D20)</f>
        <v>0</v>
      </c>
      <c r="E21" s="1932"/>
      <c r="F21" s="1933"/>
      <c r="G21" s="1933"/>
      <c r="H21" s="1933"/>
      <c r="I21" s="1934"/>
      <c r="J21" s="1917">
        <f t="shared" si="0"/>
        <v>0</v>
      </c>
      <c r="K21" s="1918">
        <f t="shared" si="1"/>
        <v>0</v>
      </c>
      <c r="L21" s="1326">
        <f>ROUND(J21/1000,0)</f>
        <v>0</v>
      </c>
      <c r="M21" s="1335">
        <f>ROUND(K21/1000,0)</f>
        <v>0</v>
      </c>
      <c r="N21" s="1340"/>
      <c r="O21" s="1341"/>
      <c r="P21" s="1330">
        <f>L21+N21</f>
        <v>0</v>
      </c>
      <c r="Q21" s="1327">
        <f>M21+O21</f>
        <v>0</v>
      </c>
    </row>
    <row r="22" spans="1:11" s="744" customFormat="1" ht="21" customHeight="1" thickBot="1">
      <c r="A22" s="739"/>
      <c r="B22" s="739"/>
      <c r="C22" s="1935"/>
      <c r="D22" s="1935"/>
      <c r="E22" s="1936"/>
      <c r="F22" s="1936"/>
      <c r="G22" s="1936"/>
      <c r="H22" s="1936"/>
      <c r="I22" s="1936"/>
      <c r="J22" s="1935"/>
      <c r="K22" s="1935"/>
    </row>
    <row r="23" spans="1:17" s="744" customFormat="1" ht="21" customHeight="1" thickBot="1">
      <c r="A23" s="2335" t="s">
        <v>1004</v>
      </c>
      <c r="B23" s="2514"/>
      <c r="C23" s="1917">
        <f>SUM(C11,C16,C21)</f>
        <v>0</v>
      </c>
      <c r="D23" s="1937">
        <f>SUM(D11,D16,D21)</f>
        <v>0</v>
      </c>
      <c r="E23" s="1938">
        <f>SUM(E11,E16,E21)</f>
        <v>0</v>
      </c>
      <c r="F23" s="1919">
        <f>F11</f>
        <v>0</v>
      </c>
      <c r="G23" s="1919">
        <f>G11</f>
        <v>0</v>
      </c>
      <c r="H23" s="1919">
        <f>H11</f>
        <v>0</v>
      </c>
      <c r="I23" s="1939">
        <f aca="true" t="shared" si="3" ref="I23:O23">SUM(I11,I16,I21)</f>
        <v>0</v>
      </c>
      <c r="J23" s="1917">
        <f t="shared" si="3"/>
        <v>0</v>
      </c>
      <c r="K23" s="1937">
        <f t="shared" si="3"/>
        <v>0</v>
      </c>
      <c r="L23" s="1530">
        <f t="shared" si="3"/>
        <v>0</v>
      </c>
      <c r="M23" s="1530">
        <f t="shared" si="3"/>
        <v>0</v>
      </c>
      <c r="N23" s="1530">
        <f t="shared" si="3"/>
        <v>0</v>
      </c>
      <c r="O23" s="1538">
        <f t="shared" si="3"/>
        <v>0</v>
      </c>
      <c r="P23" s="1342">
        <f>ROUND(J23/1000,0)</f>
        <v>0</v>
      </c>
      <c r="Q23" s="1343">
        <f>ROUND(K23/1000,0)</f>
        <v>0</v>
      </c>
    </row>
    <row r="24" spans="1:17" s="743" customFormat="1" ht="19.5" customHeight="1" thickBot="1">
      <c r="A24" s="742"/>
      <c r="B24" s="1036"/>
      <c r="C24" s="1039"/>
      <c r="D24" s="1039"/>
      <c r="E24" s="1039"/>
      <c r="F24" s="1039"/>
      <c r="G24" s="1039"/>
      <c r="H24" s="1039"/>
      <c r="I24" s="1039"/>
      <c r="J24" s="1039"/>
      <c r="K24" s="1039"/>
      <c r="L24" s="388"/>
      <c r="M24" s="388"/>
      <c r="N24" s="388"/>
      <c r="O24" s="388"/>
      <c r="P24" s="1345" t="str">
        <f>IF(P23-N23-L23=0,"OK",P23-N23-L23)</f>
        <v>OK</v>
      </c>
      <c r="Q24" s="1345" t="str">
        <f>IF(Q23-O23-M23=0,"OK",Q23-O23-M23)</f>
        <v>OK</v>
      </c>
    </row>
    <row r="25" spans="1:11" s="743" customFormat="1" ht="19.5" customHeight="1">
      <c r="A25" s="742"/>
      <c r="B25" s="742"/>
      <c r="C25" s="1039"/>
      <c r="D25" s="1039"/>
      <c r="E25" s="1039"/>
      <c r="F25" s="1039"/>
      <c r="G25" s="1039"/>
      <c r="H25" s="1039"/>
      <c r="I25" s="1039"/>
      <c r="J25" s="1039"/>
      <c r="K25" s="1039"/>
    </row>
    <row r="26" spans="1:11" s="743" customFormat="1" ht="19.5" customHeight="1">
      <c r="A26" s="742"/>
      <c r="B26" s="1036"/>
      <c r="C26" s="1039"/>
      <c r="D26" s="1039"/>
      <c r="E26" s="1039"/>
      <c r="F26" s="1039"/>
      <c r="G26" s="1039"/>
      <c r="H26" s="1039"/>
      <c r="I26" s="1039"/>
      <c r="J26" s="1039"/>
      <c r="K26" s="1039"/>
    </row>
    <row r="27" s="1041" customFormat="1" ht="11.25"/>
    <row r="28" s="1041" customFormat="1" ht="11.25"/>
  </sheetData>
  <sheetProtection formatRows="0" insertRows="0"/>
  <mergeCells count="12">
    <mergeCell ref="L5:M5"/>
    <mergeCell ref="N5:O5"/>
    <mergeCell ref="P5:Q5"/>
    <mergeCell ref="A23:B23"/>
    <mergeCell ref="A5:A6"/>
    <mergeCell ref="B5:B6"/>
    <mergeCell ref="J5:K5"/>
    <mergeCell ref="A11:B11"/>
    <mergeCell ref="A16:B16"/>
    <mergeCell ref="A21:B21"/>
    <mergeCell ref="C5:D5"/>
    <mergeCell ref="E5:I5"/>
  </mergeCells>
  <printOptions horizontalCentered="1"/>
  <pageMargins left="0.7874015748031497" right="0.7874015748031497" top="0.5905511811023623" bottom="0.61" header="0.3937007874015748" footer="0.4"/>
  <pageSetup horizontalDpi="600" verticalDpi="600" orientation="landscape" paperSize="9" scale="91" r:id="rId3"/>
  <headerFooter alignWithMargins="0">
    <oddFooter>&amp;L&amp;U                                                &amp;U
        vállalkozás vezetője
             (képviselője)&amp;C&amp;P/&amp;N&amp;R&amp;A</oddFooter>
  </headerFooter>
  <legacyDrawing r:id="rId2"/>
</worksheet>
</file>

<file path=xl/worksheets/sheet55.xml><?xml version="1.0" encoding="utf-8"?>
<worksheet xmlns="http://schemas.openxmlformats.org/spreadsheetml/2006/main" xmlns:r="http://schemas.openxmlformats.org/officeDocument/2006/relationships">
  <sheetPr codeName="Munka47"/>
  <dimension ref="A1:I100"/>
  <sheetViews>
    <sheetView workbookViewId="0" topLeftCell="A1">
      <pane xSplit="1" ySplit="5" topLeftCell="C79" activePane="bottomRight" state="frozen"/>
      <selection pane="topLeft" activeCell="A1" sqref="A1"/>
      <selection pane="topRight" activeCell="B1" sqref="B1"/>
      <selection pane="bottomLeft" activeCell="A6" sqref="A6"/>
      <selection pane="bottomRight" activeCell="E98" sqref="E98"/>
    </sheetView>
  </sheetViews>
  <sheetFormatPr defaultColWidth="9.00390625" defaultRowHeight="12.75"/>
  <cols>
    <col min="1" max="1" width="61.75390625" style="388" customWidth="1"/>
    <col min="2" max="9" width="14.75390625" style="388" customWidth="1"/>
    <col min="10" max="16384" width="9.125" style="388" customWidth="1"/>
  </cols>
  <sheetData>
    <row r="1" spans="1:9" s="372" customFormat="1" ht="12.75">
      <c r="A1" s="387" t="str">
        <f>'III.A.I-II'!A1</f>
        <v>Komáromi Távhő Kft</v>
      </c>
      <c r="I1" s="389" t="str">
        <f>'L.B.II'!L1</f>
        <v>Pénzügyi leltár 2016. december 31.Hőszolgáltatás </v>
      </c>
    </row>
    <row r="2" spans="1:7" s="372" customFormat="1" ht="12.75">
      <c r="A2" s="387"/>
      <c r="G2" s="389"/>
    </row>
    <row r="3" spans="1:9" s="628" customFormat="1" ht="16.5">
      <c r="A3" s="840" t="s">
        <v>771</v>
      </c>
      <c r="B3" s="393"/>
      <c r="C3" s="393"/>
      <c r="D3" s="393"/>
      <c r="E3" s="393"/>
      <c r="F3" s="393"/>
      <c r="G3" s="393"/>
      <c r="H3" s="393"/>
      <c r="I3" s="393"/>
    </row>
    <row r="4" spans="1:9" s="981" customFormat="1" ht="12" customHeight="1" thickBot="1">
      <c r="A4" s="980"/>
      <c r="I4" s="979" t="str">
        <f>'L.B.II'!L4</f>
        <v>Adatok Ft-ban</v>
      </c>
    </row>
    <row r="5" spans="1:9" ht="39" thickBot="1">
      <c r="A5" s="1095" t="s">
        <v>494</v>
      </c>
      <c r="B5" s="1081" t="s">
        <v>1031</v>
      </c>
      <c r="C5" s="1082" t="s">
        <v>1318</v>
      </c>
      <c r="D5" s="1082" t="s">
        <v>631</v>
      </c>
      <c r="E5" s="1082" t="s">
        <v>860</v>
      </c>
      <c r="F5" s="1082" t="s">
        <v>632</v>
      </c>
      <c r="G5" s="1082" t="s">
        <v>498</v>
      </c>
      <c r="H5" s="1082" t="s">
        <v>499</v>
      </c>
      <c r="I5" s="1083" t="s">
        <v>500</v>
      </c>
    </row>
    <row r="6" spans="1:9" ht="12.75">
      <c r="A6" s="1094" t="s">
        <v>633</v>
      </c>
      <c r="B6" s="573">
        <f>C6-D6+E6+F6+G6+H6+I6</f>
        <v>0</v>
      </c>
      <c r="C6" s="1884"/>
      <c r="D6" s="1885"/>
      <c r="E6" s="1885"/>
      <c r="F6" s="1885"/>
      <c r="G6" s="1885"/>
      <c r="H6" s="1885"/>
      <c r="I6" s="1886"/>
    </row>
    <row r="7" spans="1:9" ht="12.75">
      <c r="A7" s="1065" t="s">
        <v>634</v>
      </c>
      <c r="B7" s="1887"/>
      <c r="C7" s="1085"/>
      <c r="D7" s="1084"/>
      <c r="E7" s="1084"/>
      <c r="F7" s="1084"/>
      <c r="G7" s="1084"/>
      <c r="H7" s="1084"/>
      <c r="I7" s="1067"/>
    </row>
    <row r="8" spans="1:9" ht="12.75">
      <c r="A8" s="1068" t="s">
        <v>635</v>
      </c>
      <c r="B8" s="576"/>
      <c r="C8" s="1086">
        <f>SUM(C9:C11)</f>
        <v>0</v>
      </c>
      <c r="D8" s="1069"/>
      <c r="E8" s="1069"/>
      <c r="F8" s="1069"/>
      <c r="G8" s="1069"/>
      <c r="H8" s="1069"/>
      <c r="I8" s="1071"/>
    </row>
    <row r="9" spans="1:9" ht="12.75">
      <c r="A9" s="1072" t="s">
        <v>636</v>
      </c>
      <c r="B9" s="576"/>
      <c r="C9" s="1096"/>
      <c r="D9" s="1069"/>
      <c r="E9" s="1069"/>
      <c r="F9" s="1069"/>
      <c r="G9" s="1069"/>
      <c r="H9" s="1069"/>
      <c r="I9" s="1071"/>
    </row>
    <row r="10" spans="1:9" ht="12.75">
      <c r="A10" s="1072" t="s">
        <v>637</v>
      </c>
      <c r="B10" s="576"/>
      <c r="C10" s="1096"/>
      <c r="D10" s="1069"/>
      <c r="E10" s="1074">
        <f>E31</f>
        <v>0</v>
      </c>
      <c r="F10" s="1069"/>
      <c r="G10" s="1069"/>
      <c r="H10" s="1069"/>
      <c r="I10" s="1071"/>
    </row>
    <row r="11" spans="1:9" ht="12.75">
      <c r="A11" s="1072" t="s">
        <v>638</v>
      </c>
      <c r="B11" s="576"/>
      <c r="C11" s="1096"/>
      <c r="D11" s="1069"/>
      <c r="E11" s="1069"/>
      <c r="F11" s="1074">
        <f>F50</f>
        <v>0</v>
      </c>
      <c r="G11" s="1069"/>
      <c r="H11" s="1069"/>
      <c r="I11" s="1071"/>
    </row>
    <row r="12" spans="1:9" ht="12.75">
      <c r="A12" s="1068" t="s">
        <v>1588</v>
      </c>
      <c r="B12" s="576"/>
      <c r="C12" s="1086">
        <f>SUM(C13:C15)</f>
        <v>0</v>
      </c>
      <c r="D12" s="1069"/>
      <c r="E12" s="1069"/>
      <c r="F12" s="1069"/>
      <c r="G12" s="1069"/>
      <c r="H12" s="1069"/>
      <c r="I12" s="1071"/>
    </row>
    <row r="13" spans="1:9" ht="12.75">
      <c r="A13" s="1072" t="s">
        <v>1589</v>
      </c>
      <c r="B13" s="576"/>
      <c r="C13" s="1096"/>
      <c r="D13" s="1069"/>
      <c r="E13" s="1069"/>
      <c r="F13" s="1069"/>
      <c r="G13" s="1069"/>
      <c r="H13" s="1069"/>
      <c r="I13" s="1071"/>
    </row>
    <row r="14" spans="1:9" ht="12.75">
      <c r="A14" s="1072" t="s">
        <v>1590</v>
      </c>
      <c r="B14" s="576"/>
      <c r="C14" s="1096"/>
      <c r="D14" s="1069"/>
      <c r="E14" s="1074">
        <f>E25</f>
        <v>0</v>
      </c>
      <c r="F14" s="1069"/>
      <c r="G14" s="1069"/>
      <c r="H14" s="1069"/>
      <c r="I14" s="1071"/>
    </row>
    <row r="15" spans="1:9" ht="12.75">
      <c r="A15" s="1072" t="s">
        <v>1591</v>
      </c>
      <c r="B15" s="576"/>
      <c r="C15" s="1096"/>
      <c r="D15" s="1069"/>
      <c r="E15" s="1069"/>
      <c r="F15" s="1074">
        <f>F41</f>
        <v>0</v>
      </c>
      <c r="G15" s="1069"/>
      <c r="H15" s="1069"/>
      <c r="I15" s="1071"/>
    </row>
    <row r="16" spans="1:9" ht="12.75">
      <c r="A16" s="1065" t="s">
        <v>1592</v>
      </c>
      <c r="B16" s="1887"/>
      <c r="C16" s="1087"/>
      <c r="D16" s="1066"/>
      <c r="E16" s="1066"/>
      <c r="F16" s="1066"/>
      <c r="G16" s="1066"/>
      <c r="H16" s="1066"/>
      <c r="I16" s="1067"/>
    </row>
    <row r="17" spans="1:9" ht="12.75">
      <c r="A17" s="1068" t="s">
        <v>635</v>
      </c>
      <c r="B17" s="576"/>
      <c r="C17" s="1088"/>
      <c r="D17" s="1070">
        <f>D18</f>
        <v>0</v>
      </c>
      <c r="E17" s="1069"/>
      <c r="F17" s="1069"/>
      <c r="G17" s="1069"/>
      <c r="H17" s="1069"/>
      <c r="I17" s="1071"/>
    </row>
    <row r="18" spans="1:9" ht="12.75">
      <c r="A18" s="1072" t="s">
        <v>1593</v>
      </c>
      <c r="B18" s="576"/>
      <c r="C18" s="1088"/>
      <c r="D18" s="1097"/>
      <c r="E18" s="1069"/>
      <c r="F18" s="1069"/>
      <c r="G18" s="1069"/>
      <c r="H18" s="1069"/>
      <c r="I18" s="1071"/>
    </row>
    <row r="19" spans="1:9" ht="12.75">
      <c r="A19" s="1068" t="s">
        <v>1588</v>
      </c>
      <c r="B19" s="576"/>
      <c r="C19" s="1088"/>
      <c r="D19" s="1070">
        <f>D20</f>
        <v>0</v>
      </c>
      <c r="E19" s="1069"/>
      <c r="F19" s="1069"/>
      <c r="G19" s="1069"/>
      <c r="H19" s="1069"/>
      <c r="I19" s="1071"/>
    </row>
    <row r="20" spans="1:9" ht="12.75">
      <c r="A20" s="1072" t="s">
        <v>1594</v>
      </c>
      <c r="B20" s="576"/>
      <c r="C20" s="1088"/>
      <c r="D20" s="1097"/>
      <c r="E20" s="1069"/>
      <c r="F20" s="1069"/>
      <c r="G20" s="1069"/>
      <c r="H20" s="1069"/>
      <c r="I20" s="1071"/>
    </row>
    <row r="21" spans="1:9" ht="12.75">
      <c r="A21" s="1065" t="s">
        <v>620</v>
      </c>
      <c r="B21" s="1887"/>
      <c r="C21" s="1087"/>
      <c r="D21" s="1066"/>
      <c r="E21" s="1066"/>
      <c r="F21" s="1066"/>
      <c r="G21" s="1066"/>
      <c r="H21" s="1066"/>
      <c r="I21" s="1067"/>
    </row>
    <row r="22" spans="1:9" ht="12.75">
      <c r="A22" s="1068" t="s">
        <v>635</v>
      </c>
      <c r="B22" s="576"/>
      <c r="C22" s="1088"/>
      <c r="D22" s="1069"/>
      <c r="E22" s="1070">
        <f>SUM(E23:E29)</f>
        <v>0</v>
      </c>
      <c r="F22" s="1069"/>
      <c r="G22" s="1069"/>
      <c r="H22" s="1069"/>
      <c r="I22" s="1071"/>
    </row>
    <row r="23" spans="1:9" ht="38.25">
      <c r="A23" s="1072" t="s">
        <v>1597</v>
      </c>
      <c r="B23" s="576"/>
      <c r="C23" s="1088"/>
      <c r="D23" s="1069"/>
      <c r="E23" s="1097"/>
      <c r="F23" s="1069"/>
      <c r="G23" s="1069"/>
      <c r="H23" s="1069"/>
      <c r="I23" s="1071"/>
    </row>
    <row r="24" spans="1:9" ht="51">
      <c r="A24" s="1072" t="s">
        <v>1603</v>
      </c>
      <c r="B24" s="576"/>
      <c r="C24" s="1088"/>
      <c r="D24" s="1069"/>
      <c r="E24" s="1097"/>
      <c r="F24" s="1069"/>
      <c r="G24" s="1069"/>
      <c r="H24" s="1069"/>
      <c r="I24" s="1071"/>
    </row>
    <row r="25" spans="1:9" ht="12.75">
      <c r="A25" s="1072" t="s">
        <v>1604</v>
      </c>
      <c r="B25" s="576"/>
      <c r="C25" s="1089">
        <f>C14</f>
        <v>0</v>
      </c>
      <c r="D25" s="1069"/>
      <c r="E25" s="1097"/>
      <c r="F25" s="1069"/>
      <c r="G25" s="1069"/>
      <c r="H25" s="1069"/>
      <c r="I25" s="1071"/>
    </row>
    <row r="26" spans="1:9" ht="25.5">
      <c r="A26" s="1072" t="s">
        <v>1616</v>
      </c>
      <c r="B26" s="576"/>
      <c r="C26" s="1088"/>
      <c r="D26" s="1069"/>
      <c r="E26" s="1097"/>
      <c r="F26" s="1069"/>
      <c r="G26" s="1069"/>
      <c r="H26" s="1069"/>
      <c r="I26" s="1071"/>
    </row>
    <row r="27" spans="1:9" ht="25.5">
      <c r="A27" s="1072" t="s">
        <v>1617</v>
      </c>
      <c r="B27" s="576"/>
      <c r="C27" s="1088"/>
      <c r="D27" s="1069"/>
      <c r="E27" s="1097"/>
      <c r="F27" s="1069"/>
      <c r="G27" s="1074">
        <f>G63</f>
        <v>0</v>
      </c>
      <c r="H27" s="1069"/>
      <c r="I27" s="1071"/>
    </row>
    <row r="28" spans="1:9" ht="38.25">
      <c r="A28" s="1072" t="s">
        <v>794</v>
      </c>
      <c r="B28" s="576"/>
      <c r="C28" s="1088"/>
      <c r="D28" s="1069"/>
      <c r="E28" s="1097"/>
      <c r="F28" s="1069"/>
      <c r="G28" s="1069"/>
      <c r="H28" s="1069"/>
      <c r="I28" s="1071"/>
    </row>
    <row r="29" spans="1:9" ht="12.75">
      <c r="A29" s="1072" t="s">
        <v>795</v>
      </c>
      <c r="B29" s="576"/>
      <c r="C29" s="1088"/>
      <c r="D29" s="1069"/>
      <c r="E29" s="1097"/>
      <c r="F29" s="1069"/>
      <c r="G29" s="1069"/>
      <c r="H29" s="1069"/>
      <c r="I29" s="1071"/>
    </row>
    <row r="30" spans="1:9" ht="12.75">
      <c r="A30" s="1068" t="s">
        <v>1588</v>
      </c>
      <c r="B30" s="576"/>
      <c r="C30" s="1088"/>
      <c r="D30" s="1069"/>
      <c r="E30" s="1070">
        <f>SUM(E31:E36)</f>
        <v>0</v>
      </c>
      <c r="F30" s="1069"/>
      <c r="G30" s="1069"/>
      <c r="H30" s="1069"/>
      <c r="I30" s="1071"/>
    </row>
    <row r="31" spans="1:9" ht="12.75">
      <c r="A31" s="1072" t="s">
        <v>796</v>
      </c>
      <c r="B31" s="576"/>
      <c r="C31" s="1089">
        <f>C10</f>
        <v>0</v>
      </c>
      <c r="D31" s="1069"/>
      <c r="E31" s="1097"/>
      <c r="F31" s="1069"/>
      <c r="G31" s="1069"/>
      <c r="H31" s="1069"/>
      <c r="I31" s="1071"/>
    </row>
    <row r="32" spans="1:9" ht="25.5">
      <c r="A32" s="1072" t="s">
        <v>797</v>
      </c>
      <c r="B32" s="576"/>
      <c r="C32" s="1088"/>
      <c r="D32" s="1069"/>
      <c r="E32" s="1097"/>
      <c r="F32" s="1074">
        <f>F42</f>
        <v>0</v>
      </c>
      <c r="G32" s="1069"/>
      <c r="H32" s="1069"/>
      <c r="I32" s="1071"/>
    </row>
    <row r="33" spans="1:9" ht="38.25">
      <c r="A33" s="1072" t="s">
        <v>665</v>
      </c>
      <c r="B33" s="576"/>
      <c r="C33" s="1088"/>
      <c r="D33" s="1069"/>
      <c r="E33" s="1097"/>
      <c r="F33" s="1069"/>
      <c r="G33" s="1069"/>
      <c r="H33" s="1069"/>
      <c r="I33" s="1071"/>
    </row>
    <row r="34" spans="1:9" ht="12.75">
      <c r="A34" s="1072" t="s">
        <v>1618</v>
      </c>
      <c r="B34" s="576"/>
      <c r="C34" s="1088"/>
      <c r="D34" s="1069"/>
      <c r="E34" s="1097"/>
      <c r="F34" s="1069"/>
      <c r="G34" s="1074">
        <f>G59</f>
        <v>0</v>
      </c>
      <c r="H34" s="1069"/>
      <c r="I34" s="1071"/>
    </row>
    <row r="35" spans="1:9" ht="38.25">
      <c r="A35" s="1072" t="s">
        <v>1619</v>
      </c>
      <c r="B35" s="576"/>
      <c r="C35" s="1088"/>
      <c r="D35" s="1069"/>
      <c r="E35" s="1097"/>
      <c r="F35" s="1069"/>
      <c r="G35" s="1069"/>
      <c r="H35" s="1069"/>
      <c r="I35" s="1071"/>
    </row>
    <row r="36" spans="1:9" ht="12.75">
      <c r="A36" s="1072" t="s">
        <v>795</v>
      </c>
      <c r="B36" s="576"/>
      <c r="C36" s="1088"/>
      <c r="D36" s="1069"/>
      <c r="E36" s="1073"/>
      <c r="F36" s="1069"/>
      <c r="G36" s="1069"/>
      <c r="H36" s="1069"/>
      <c r="I36" s="1071"/>
    </row>
    <row r="37" spans="1:9" ht="12.75">
      <c r="A37" s="1065" t="s">
        <v>1620</v>
      </c>
      <c r="B37" s="1887"/>
      <c r="C37" s="1087"/>
      <c r="D37" s="1066"/>
      <c r="E37" s="1066"/>
      <c r="F37" s="1066"/>
      <c r="G37" s="1066"/>
      <c r="H37" s="1066"/>
      <c r="I37" s="1067"/>
    </row>
    <row r="38" spans="1:9" ht="12.75">
      <c r="A38" s="1068" t="s">
        <v>635</v>
      </c>
      <c r="B38" s="576"/>
      <c r="C38" s="1088"/>
      <c r="D38" s="1069"/>
      <c r="E38" s="1069"/>
      <c r="F38" s="1070">
        <f>SUM(F39:F46)</f>
        <v>0</v>
      </c>
      <c r="G38" s="1069"/>
      <c r="H38" s="1069"/>
      <c r="I38" s="1071"/>
    </row>
    <row r="39" spans="1:9" ht="12.75">
      <c r="A39" s="1072" t="s">
        <v>813</v>
      </c>
      <c r="B39" s="576"/>
      <c r="C39" s="1088"/>
      <c r="D39" s="1069"/>
      <c r="E39" s="1069"/>
      <c r="F39" s="1097"/>
      <c r="G39" s="1069"/>
      <c r="H39" s="1069"/>
      <c r="I39" s="1075">
        <f>I76</f>
        <v>0</v>
      </c>
    </row>
    <row r="40" spans="1:9" ht="25.5">
      <c r="A40" s="1072" t="s">
        <v>1623</v>
      </c>
      <c r="B40" s="576"/>
      <c r="C40" s="1088"/>
      <c r="D40" s="1069"/>
      <c r="E40" s="1069"/>
      <c r="F40" s="1097"/>
      <c r="G40" s="1069"/>
      <c r="H40" s="1069"/>
      <c r="I40" s="1071"/>
    </row>
    <row r="41" spans="1:9" ht="12.75">
      <c r="A41" s="1072" t="s">
        <v>1624</v>
      </c>
      <c r="B41" s="576"/>
      <c r="C41" s="1089">
        <f>C15</f>
        <v>0</v>
      </c>
      <c r="D41" s="1069"/>
      <c r="E41" s="1069"/>
      <c r="F41" s="1097"/>
      <c r="G41" s="1069"/>
      <c r="H41" s="1069"/>
      <c r="I41" s="1071"/>
    </row>
    <row r="42" spans="1:9" ht="25.5">
      <c r="A42" s="1072" t="s">
        <v>1625</v>
      </c>
      <c r="B42" s="576"/>
      <c r="C42" s="1088"/>
      <c r="D42" s="1069"/>
      <c r="E42" s="1074">
        <f>E32</f>
        <v>0</v>
      </c>
      <c r="F42" s="1097"/>
      <c r="G42" s="1069"/>
      <c r="H42" s="1069"/>
      <c r="I42" s="1071"/>
    </row>
    <row r="43" spans="1:9" ht="38.25">
      <c r="A43" s="1072" t="s">
        <v>815</v>
      </c>
      <c r="B43" s="576"/>
      <c r="C43" s="1088"/>
      <c r="D43" s="1069"/>
      <c r="E43" s="1069"/>
      <c r="F43" s="1097"/>
      <c r="G43" s="1069"/>
      <c r="H43" s="1069"/>
      <c r="I43" s="1071"/>
    </row>
    <row r="44" spans="1:9" ht="25.5">
      <c r="A44" s="1072" t="s">
        <v>816</v>
      </c>
      <c r="B44" s="576"/>
      <c r="C44" s="1088"/>
      <c r="D44" s="1069"/>
      <c r="E44" s="1069"/>
      <c r="F44" s="1097"/>
      <c r="G44" s="1074">
        <f>G64</f>
        <v>0</v>
      </c>
      <c r="H44" s="1069"/>
      <c r="I44" s="1071"/>
    </row>
    <row r="45" spans="1:9" ht="38.25">
      <c r="A45" s="1072" t="s">
        <v>817</v>
      </c>
      <c r="B45" s="576"/>
      <c r="C45" s="1088"/>
      <c r="D45" s="1069"/>
      <c r="E45" s="1069"/>
      <c r="F45" s="1097"/>
      <c r="G45" s="1069"/>
      <c r="H45" s="1069"/>
      <c r="I45" s="1071"/>
    </row>
    <row r="46" spans="1:9" ht="12.75">
      <c r="A46" s="1072" t="s">
        <v>795</v>
      </c>
      <c r="B46" s="576"/>
      <c r="C46" s="1088"/>
      <c r="D46" s="1069"/>
      <c r="E46" s="1069"/>
      <c r="F46" s="1097"/>
      <c r="G46" s="1069"/>
      <c r="H46" s="1069"/>
      <c r="I46" s="1071"/>
    </row>
    <row r="47" spans="1:9" ht="12.75">
      <c r="A47" s="1068" t="s">
        <v>1588</v>
      </c>
      <c r="B47" s="576"/>
      <c r="C47" s="1088"/>
      <c r="D47" s="1069"/>
      <c r="E47" s="1069"/>
      <c r="F47" s="1070">
        <f>SUM(F48:F56)</f>
        <v>0</v>
      </c>
      <c r="G47" s="1069"/>
      <c r="H47" s="1069"/>
      <c r="I47" s="1071"/>
    </row>
    <row r="48" spans="1:9" ht="12.75">
      <c r="A48" s="1072" t="s">
        <v>818</v>
      </c>
      <c r="B48" s="576"/>
      <c r="C48" s="1088"/>
      <c r="D48" s="1069"/>
      <c r="E48" s="1069"/>
      <c r="F48" s="1097"/>
      <c r="G48" s="1069"/>
      <c r="H48" s="1069"/>
      <c r="I48" s="1075">
        <f>I73</f>
        <v>0</v>
      </c>
    </row>
    <row r="49" spans="1:9" ht="25.5">
      <c r="A49" s="1072" t="s">
        <v>819</v>
      </c>
      <c r="B49" s="576"/>
      <c r="C49" s="1088"/>
      <c r="D49" s="1069"/>
      <c r="E49" s="1069"/>
      <c r="F49" s="1097"/>
      <c r="G49" s="1069"/>
      <c r="H49" s="1069"/>
      <c r="I49" s="1071"/>
    </row>
    <row r="50" spans="1:9" ht="25.5">
      <c r="A50" s="1072" t="s">
        <v>820</v>
      </c>
      <c r="B50" s="576"/>
      <c r="C50" s="1089">
        <f>C11</f>
        <v>0</v>
      </c>
      <c r="D50" s="1069"/>
      <c r="E50" s="1069"/>
      <c r="F50" s="1097"/>
      <c r="G50" s="1069"/>
      <c r="H50" s="1069"/>
      <c r="I50" s="1071"/>
    </row>
    <row r="51" spans="1:9" ht="12.75">
      <c r="A51" s="1072" t="s">
        <v>728</v>
      </c>
      <c r="B51" s="576"/>
      <c r="C51" s="1088"/>
      <c r="D51" s="1069"/>
      <c r="E51" s="1069"/>
      <c r="F51" s="1097"/>
      <c r="G51" s="1074">
        <f>G60</f>
        <v>0</v>
      </c>
      <c r="H51" s="1069"/>
      <c r="I51" s="1071"/>
    </row>
    <row r="52" spans="1:9" ht="38.25">
      <c r="A52" s="1072" t="s">
        <v>932</v>
      </c>
      <c r="B52" s="576"/>
      <c r="C52" s="1088"/>
      <c r="D52" s="1069"/>
      <c r="E52" s="1069"/>
      <c r="F52" s="1097"/>
      <c r="G52" s="1069"/>
      <c r="H52" s="1069"/>
      <c r="I52" s="1071"/>
    </row>
    <row r="53" spans="1:9" ht="38.25">
      <c r="A53" s="1072" t="s">
        <v>933</v>
      </c>
      <c r="B53" s="576"/>
      <c r="C53" s="1088"/>
      <c r="D53" s="1069"/>
      <c r="E53" s="1069"/>
      <c r="F53" s="1097"/>
      <c r="G53" s="1069"/>
      <c r="H53" s="1069"/>
      <c r="I53" s="1071"/>
    </row>
    <row r="54" spans="1:9" ht="38.25">
      <c r="A54" s="1072" t="s">
        <v>1764</v>
      </c>
      <c r="B54" s="576"/>
      <c r="C54" s="1088"/>
      <c r="D54" s="1069"/>
      <c r="E54" s="1069"/>
      <c r="F54" s="1097"/>
      <c r="G54" s="1069"/>
      <c r="H54" s="1069"/>
      <c r="I54" s="1071"/>
    </row>
    <row r="55" spans="1:9" ht="38.25">
      <c r="A55" s="1072" t="s">
        <v>1765</v>
      </c>
      <c r="B55" s="576"/>
      <c r="C55" s="1088"/>
      <c r="D55" s="1069"/>
      <c r="E55" s="1069"/>
      <c r="F55" s="1097"/>
      <c r="G55" s="1069"/>
      <c r="H55" s="1069"/>
      <c r="I55" s="1071"/>
    </row>
    <row r="56" spans="1:9" ht="12.75">
      <c r="A56" s="1072" t="s">
        <v>795</v>
      </c>
      <c r="B56" s="576"/>
      <c r="C56" s="1088"/>
      <c r="D56" s="1069"/>
      <c r="E56" s="1069"/>
      <c r="F56" s="1097"/>
      <c r="G56" s="1069"/>
      <c r="H56" s="1069"/>
      <c r="I56" s="1071"/>
    </row>
    <row r="57" spans="1:9" ht="12.75">
      <c r="A57" s="1065" t="s">
        <v>1766</v>
      </c>
      <c r="B57" s="1887"/>
      <c r="C57" s="1087"/>
      <c r="D57" s="1066"/>
      <c r="E57" s="1066"/>
      <c r="F57" s="1066"/>
      <c r="G57" s="1066"/>
      <c r="H57" s="1066"/>
      <c r="I57" s="1067"/>
    </row>
    <row r="58" spans="1:9" ht="12.75">
      <c r="A58" s="1068" t="s">
        <v>635</v>
      </c>
      <c r="B58" s="576"/>
      <c r="C58" s="1088"/>
      <c r="D58" s="1069"/>
      <c r="E58" s="1069"/>
      <c r="F58" s="1069"/>
      <c r="G58" s="1070">
        <f>SUM(G59:G61)</f>
        <v>0</v>
      </c>
      <c r="H58" s="1069"/>
      <c r="I58" s="1071"/>
    </row>
    <row r="59" spans="1:9" ht="12.75">
      <c r="A59" s="1072" t="s">
        <v>1767</v>
      </c>
      <c r="B59" s="576"/>
      <c r="C59" s="1088"/>
      <c r="D59" s="1069"/>
      <c r="E59" s="1074">
        <f>E34</f>
        <v>0</v>
      </c>
      <c r="F59" s="1069"/>
      <c r="G59" s="1097"/>
      <c r="H59" s="1069"/>
      <c r="I59" s="1071"/>
    </row>
    <row r="60" spans="1:9" ht="12.75">
      <c r="A60" s="1072" t="s">
        <v>1768</v>
      </c>
      <c r="B60" s="576"/>
      <c r="C60" s="1088"/>
      <c r="D60" s="1069"/>
      <c r="E60" s="1069"/>
      <c r="F60" s="1074">
        <f>F51</f>
        <v>0</v>
      </c>
      <c r="G60" s="1097"/>
      <c r="H60" s="1069"/>
      <c r="I60" s="1071"/>
    </row>
    <row r="61" spans="1:9" ht="12.75">
      <c r="A61" s="1072" t="s">
        <v>1769</v>
      </c>
      <c r="B61" s="576"/>
      <c r="C61" s="1088"/>
      <c r="D61" s="1069"/>
      <c r="E61" s="1069"/>
      <c r="F61" s="1069"/>
      <c r="G61" s="1097"/>
      <c r="H61" s="1069"/>
      <c r="I61" s="1071"/>
    </row>
    <row r="62" spans="1:9" ht="12.75">
      <c r="A62" s="1068" t="s">
        <v>1588</v>
      </c>
      <c r="B62" s="576"/>
      <c r="C62" s="1088"/>
      <c r="D62" s="1069"/>
      <c r="E62" s="1069"/>
      <c r="F62" s="1069"/>
      <c r="G62" s="1070">
        <f>SUM(G63:G65)</f>
        <v>0</v>
      </c>
      <c r="H62" s="1069"/>
      <c r="I62" s="1071"/>
    </row>
    <row r="63" spans="1:9" ht="12.75">
      <c r="A63" s="1072" t="s">
        <v>1770</v>
      </c>
      <c r="B63" s="576"/>
      <c r="C63" s="1088"/>
      <c r="D63" s="1069"/>
      <c r="E63" s="1074">
        <f>E27</f>
        <v>0</v>
      </c>
      <c r="F63" s="1069"/>
      <c r="G63" s="1097"/>
      <c r="H63" s="1069"/>
      <c r="I63" s="1071"/>
    </row>
    <row r="64" spans="1:9" ht="12.75">
      <c r="A64" s="1072" t="s">
        <v>1771</v>
      </c>
      <c r="B64" s="576"/>
      <c r="C64" s="1088"/>
      <c r="D64" s="1069"/>
      <c r="E64" s="1069"/>
      <c r="F64" s="1074">
        <f>F44</f>
        <v>0</v>
      </c>
      <c r="G64" s="1097"/>
      <c r="H64" s="1069"/>
      <c r="I64" s="1071"/>
    </row>
    <row r="65" spans="1:9" ht="12.75">
      <c r="A65" s="1072" t="s">
        <v>1772</v>
      </c>
      <c r="B65" s="576"/>
      <c r="C65" s="1088"/>
      <c r="D65" s="1069"/>
      <c r="E65" s="1069"/>
      <c r="F65" s="1069"/>
      <c r="G65" s="1097"/>
      <c r="H65" s="1069"/>
      <c r="I65" s="1071"/>
    </row>
    <row r="66" spans="1:9" ht="12.75">
      <c r="A66" s="1065" t="s">
        <v>1773</v>
      </c>
      <c r="B66" s="1887"/>
      <c r="C66" s="1087"/>
      <c r="D66" s="1066"/>
      <c r="E66" s="1066"/>
      <c r="F66" s="1066"/>
      <c r="G66" s="1066"/>
      <c r="H66" s="1066"/>
      <c r="I66" s="1067"/>
    </row>
    <row r="67" spans="1:9" ht="12.75">
      <c r="A67" s="1068" t="s">
        <v>635</v>
      </c>
      <c r="B67" s="576"/>
      <c r="C67" s="1088"/>
      <c r="D67" s="1069"/>
      <c r="E67" s="1069"/>
      <c r="F67" s="1069"/>
      <c r="G67" s="1069"/>
      <c r="H67" s="1070">
        <f>H68</f>
        <v>0</v>
      </c>
      <c r="I67" s="1071"/>
    </row>
    <row r="68" spans="1:9" ht="12.75">
      <c r="A68" s="1072" t="s">
        <v>1774</v>
      </c>
      <c r="B68" s="576"/>
      <c r="C68" s="1088"/>
      <c r="D68" s="1069"/>
      <c r="E68" s="1069"/>
      <c r="F68" s="1069"/>
      <c r="G68" s="1069"/>
      <c r="H68" s="1097"/>
      <c r="I68" s="1071"/>
    </row>
    <row r="69" spans="1:9" ht="12.75">
      <c r="A69" s="1068" t="s">
        <v>1588</v>
      </c>
      <c r="B69" s="576"/>
      <c r="C69" s="1088"/>
      <c r="D69" s="1069"/>
      <c r="E69" s="1069"/>
      <c r="F69" s="1069"/>
      <c r="G69" s="1069"/>
      <c r="H69" s="1070">
        <f>SUM(H70)</f>
        <v>0</v>
      </c>
      <c r="I69" s="1071"/>
    </row>
    <row r="70" spans="1:9" ht="12.75">
      <c r="A70" s="1072" t="s">
        <v>1775</v>
      </c>
      <c r="B70" s="576"/>
      <c r="C70" s="1088"/>
      <c r="D70" s="1069"/>
      <c r="E70" s="1069"/>
      <c r="F70" s="1069"/>
      <c r="G70" s="1069"/>
      <c r="H70" s="1097"/>
      <c r="I70" s="1071"/>
    </row>
    <row r="71" spans="1:9" ht="12.75">
      <c r="A71" s="1065" t="s">
        <v>1776</v>
      </c>
      <c r="B71" s="1887"/>
      <c r="C71" s="1087"/>
      <c r="D71" s="1066"/>
      <c r="E71" s="1066"/>
      <c r="F71" s="1066"/>
      <c r="G71" s="1066"/>
      <c r="H71" s="1066"/>
      <c r="I71" s="1067"/>
    </row>
    <row r="72" spans="1:9" ht="12.75">
      <c r="A72" s="1068" t="s">
        <v>635</v>
      </c>
      <c r="B72" s="576"/>
      <c r="C72" s="1088"/>
      <c r="D72" s="1069"/>
      <c r="E72" s="1069"/>
      <c r="F72" s="1069"/>
      <c r="G72" s="1069"/>
      <c r="H72" s="1069"/>
      <c r="I72" s="1076">
        <f>SUM(I73:I74)</f>
        <v>0</v>
      </c>
    </row>
    <row r="73" spans="1:9" ht="13.5" customHeight="1">
      <c r="A73" s="1072" t="s">
        <v>1777</v>
      </c>
      <c r="B73" s="576"/>
      <c r="C73" s="1088"/>
      <c r="D73" s="1069"/>
      <c r="E73" s="1069"/>
      <c r="F73" s="1074">
        <f>F48</f>
        <v>0</v>
      </c>
      <c r="G73" s="1069"/>
      <c r="H73" s="1069"/>
      <c r="I73" s="1098"/>
    </row>
    <row r="74" spans="1:9" ht="12.75">
      <c r="A74" s="1072" t="s">
        <v>1778</v>
      </c>
      <c r="B74" s="576"/>
      <c r="C74" s="1088"/>
      <c r="D74" s="1069"/>
      <c r="E74" s="1069"/>
      <c r="F74" s="1069"/>
      <c r="G74" s="1069"/>
      <c r="H74" s="1069"/>
      <c r="I74" s="1098"/>
    </row>
    <row r="75" spans="1:9" ht="12.75">
      <c r="A75" s="1068" t="s">
        <v>1588</v>
      </c>
      <c r="B75" s="576"/>
      <c r="C75" s="1088"/>
      <c r="D75" s="1069"/>
      <c r="E75" s="1069"/>
      <c r="F75" s="1069"/>
      <c r="G75" s="1069"/>
      <c r="H75" s="1069"/>
      <c r="I75" s="1076">
        <f>SUM(I76:I77)</f>
        <v>0</v>
      </c>
    </row>
    <row r="76" spans="1:9" ht="12.75">
      <c r="A76" s="1072" t="s">
        <v>939</v>
      </c>
      <c r="B76" s="576"/>
      <c r="C76" s="1088"/>
      <c r="D76" s="1069"/>
      <c r="E76" s="1069"/>
      <c r="F76" s="1074">
        <f>F39</f>
        <v>0</v>
      </c>
      <c r="G76" s="1069"/>
      <c r="H76" s="1069"/>
      <c r="I76" s="1098"/>
    </row>
    <row r="77" spans="1:9" ht="13.5" thickBot="1">
      <c r="A77" s="1090" t="s">
        <v>940</v>
      </c>
      <c r="B77" s="1888"/>
      <c r="C77" s="1091"/>
      <c r="D77" s="1092"/>
      <c r="E77" s="1092"/>
      <c r="F77" s="1092"/>
      <c r="G77" s="1092"/>
      <c r="H77" s="1092"/>
      <c r="I77" s="1099"/>
    </row>
    <row r="78" spans="1:9" ht="13.5" thickBot="1">
      <c r="A78" s="1093" t="s">
        <v>1691</v>
      </c>
      <c r="B78" s="1889">
        <f>C78-D78+E78+F78+G78+H78+I78</f>
        <v>0</v>
      </c>
      <c r="C78" s="1889">
        <f>C6+C8-C12</f>
        <v>0</v>
      </c>
      <c r="D78" s="1889">
        <f>D6+D17-D19</f>
        <v>0</v>
      </c>
      <c r="E78" s="1889">
        <f>E6+E22-E30</f>
        <v>0</v>
      </c>
      <c r="F78" s="1889">
        <f>F6+F38-F47</f>
        <v>0</v>
      </c>
      <c r="G78" s="1889">
        <f>G6+G58-G62</f>
        <v>0</v>
      </c>
      <c r="H78" s="1889">
        <f>H6+H67-H69</f>
        <v>0</v>
      </c>
      <c r="I78" s="1890">
        <f>I6+I72-I75</f>
        <v>0</v>
      </c>
    </row>
    <row r="89" ht="13.5" thickBot="1"/>
    <row r="90" spans="2:9" ht="13.5" thickBot="1">
      <c r="B90" s="2492" t="s">
        <v>43</v>
      </c>
      <c r="C90" s="2491"/>
      <c r="D90" s="2518" t="s">
        <v>790</v>
      </c>
      <c r="E90" s="2491"/>
      <c r="F90" s="2492" t="s">
        <v>788</v>
      </c>
      <c r="G90" s="2491"/>
      <c r="H90" s="2518" t="s">
        <v>789</v>
      </c>
      <c r="I90" s="2493"/>
    </row>
    <row r="91" spans="1:9" ht="15.75" thickBot="1">
      <c r="A91" s="2073" t="s">
        <v>494</v>
      </c>
      <c r="B91" s="1517" t="s">
        <v>1205</v>
      </c>
      <c r="C91" s="1518" t="s">
        <v>112</v>
      </c>
      <c r="D91" s="1515" t="s">
        <v>603</v>
      </c>
      <c r="E91" s="1516" t="s">
        <v>922</v>
      </c>
      <c r="F91" s="2070" t="s">
        <v>603</v>
      </c>
      <c r="G91" s="2071" t="s">
        <v>922</v>
      </c>
      <c r="H91" s="2072" t="s">
        <v>603</v>
      </c>
      <c r="I91" s="2071" t="s">
        <v>922</v>
      </c>
    </row>
    <row r="92" spans="1:9" ht="14.25">
      <c r="A92" s="2074" t="s">
        <v>1806</v>
      </c>
      <c r="B92" s="2084">
        <f>C6</f>
        <v>0</v>
      </c>
      <c r="C92" s="2085">
        <f>C78</f>
        <v>0</v>
      </c>
      <c r="D92" s="2076">
        <f>ROUND(B92/1000,0)</f>
        <v>0</v>
      </c>
      <c r="E92" s="2089">
        <f aca="true" t="shared" si="0" ref="E92:E98">ROUND(C92/1000,0)</f>
        <v>0</v>
      </c>
      <c r="F92" s="2090"/>
      <c r="G92" s="2091"/>
      <c r="H92" s="2092">
        <f>D92+F92</f>
        <v>0</v>
      </c>
      <c r="I92" s="2091">
        <f aca="true" t="shared" si="1" ref="I92:I98">E92+G92</f>
        <v>0</v>
      </c>
    </row>
    <row r="93" spans="1:9" ht="14.25">
      <c r="A93" s="2074" t="s">
        <v>1807</v>
      </c>
      <c r="B93" s="2079">
        <f>D6</f>
        <v>0</v>
      </c>
      <c r="C93" s="2078">
        <f>D78</f>
        <v>0</v>
      </c>
      <c r="D93" s="2076">
        <f aca="true" t="shared" si="2" ref="D93:D98">ROUND(B93/1000,0)</f>
        <v>0</v>
      </c>
      <c r="E93" s="2089">
        <f t="shared" si="0"/>
        <v>0</v>
      </c>
      <c r="F93" s="2093"/>
      <c r="G93" s="577"/>
      <c r="H93" s="2094">
        <f aca="true" t="shared" si="3" ref="H93:H98">D93+F93</f>
        <v>0</v>
      </c>
      <c r="I93" s="577">
        <f t="shared" si="1"/>
        <v>0</v>
      </c>
    </row>
    <row r="94" spans="1:9" ht="14.25">
      <c r="A94" s="2074" t="s">
        <v>1808</v>
      </c>
      <c r="B94" s="2077">
        <f>E6</f>
        <v>0</v>
      </c>
      <c r="C94" s="2078">
        <f>E78</f>
        <v>0</v>
      </c>
      <c r="D94" s="2076">
        <f t="shared" si="2"/>
        <v>0</v>
      </c>
      <c r="E94" s="2089">
        <f t="shared" si="0"/>
        <v>0</v>
      </c>
      <c r="F94" s="2093"/>
      <c r="G94" s="577"/>
      <c r="H94" s="2094">
        <f t="shared" si="3"/>
        <v>0</v>
      </c>
      <c r="I94" s="577">
        <f t="shared" si="1"/>
        <v>0</v>
      </c>
    </row>
    <row r="95" spans="1:9" ht="14.25">
      <c r="A95" s="2074" t="s">
        <v>1809</v>
      </c>
      <c r="B95" s="2077">
        <f>F6</f>
        <v>0</v>
      </c>
      <c r="C95" s="2078">
        <f>F78</f>
        <v>0</v>
      </c>
      <c r="D95" s="2076">
        <f t="shared" si="2"/>
        <v>0</v>
      </c>
      <c r="E95" s="2089">
        <f t="shared" si="0"/>
        <v>0</v>
      </c>
      <c r="F95" s="2093"/>
      <c r="G95" s="577"/>
      <c r="H95" s="2094">
        <f t="shared" si="3"/>
        <v>0</v>
      </c>
      <c r="I95" s="577">
        <f t="shared" si="1"/>
        <v>0</v>
      </c>
    </row>
    <row r="96" spans="1:9" ht="14.25">
      <c r="A96" s="2074" t="s">
        <v>1810</v>
      </c>
      <c r="B96" s="2077">
        <f>G6</f>
        <v>0</v>
      </c>
      <c r="C96" s="2078">
        <f>G78</f>
        <v>0</v>
      </c>
      <c r="D96" s="2076">
        <f t="shared" si="2"/>
        <v>0</v>
      </c>
      <c r="E96" s="2089">
        <f t="shared" si="0"/>
        <v>0</v>
      </c>
      <c r="F96" s="2093"/>
      <c r="G96" s="577"/>
      <c r="H96" s="2094">
        <f t="shared" si="3"/>
        <v>0</v>
      </c>
      <c r="I96" s="577">
        <f t="shared" si="1"/>
        <v>0</v>
      </c>
    </row>
    <row r="97" spans="1:9" ht="14.25">
      <c r="A97" s="2074" t="s">
        <v>1811</v>
      </c>
      <c r="B97" s="2077">
        <f>H6</f>
        <v>0</v>
      </c>
      <c r="C97" s="2078">
        <f>H78</f>
        <v>0</v>
      </c>
      <c r="D97" s="2076">
        <f t="shared" si="2"/>
        <v>0</v>
      </c>
      <c r="E97" s="2089">
        <f t="shared" si="0"/>
        <v>0</v>
      </c>
      <c r="F97" s="2093"/>
      <c r="G97" s="577"/>
      <c r="H97" s="2094">
        <f t="shared" si="3"/>
        <v>0</v>
      </c>
      <c r="I97" s="577">
        <f t="shared" si="1"/>
        <v>0</v>
      </c>
    </row>
    <row r="98" spans="1:9" ht="15" thickBot="1">
      <c r="A98" s="2075" t="s">
        <v>1812</v>
      </c>
      <c r="B98" s="2080">
        <f>I6</f>
        <v>0</v>
      </c>
      <c r="C98" s="2081">
        <f>I78</f>
        <v>0</v>
      </c>
      <c r="D98" s="2083">
        <f t="shared" si="2"/>
        <v>0</v>
      </c>
      <c r="E98" s="2095">
        <f t="shared" si="0"/>
        <v>0</v>
      </c>
      <c r="F98" s="2096"/>
      <c r="G98" s="2097"/>
      <c r="H98" s="2098">
        <f t="shared" si="3"/>
        <v>0</v>
      </c>
      <c r="I98" s="2097">
        <f t="shared" si="1"/>
        <v>0</v>
      </c>
    </row>
    <row r="99" spans="1:9" ht="15" thickBot="1">
      <c r="A99" s="2082" t="s">
        <v>1031</v>
      </c>
      <c r="B99" s="2086">
        <f aca="true" t="shared" si="4" ref="B99:G99">SUM(B92:B98)</f>
        <v>0</v>
      </c>
      <c r="C99" s="2087">
        <f t="shared" si="4"/>
        <v>0</v>
      </c>
      <c r="D99" s="2099">
        <f t="shared" si="4"/>
        <v>0</v>
      </c>
      <c r="E99" s="2100">
        <f t="shared" si="4"/>
        <v>0</v>
      </c>
      <c r="F99" s="2086">
        <f t="shared" si="4"/>
        <v>0</v>
      </c>
      <c r="G99" s="2087">
        <f t="shared" si="4"/>
        <v>0</v>
      </c>
      <c r="H99" s="2088">
        <f>ROUND(B99/1000,0)</f>
        <v>0</v>
      </c>
      <c r="I99" s="2087">
        <f>ROUND(C99/1000,0)</f>
        <v>0</v>
      </c>
    </row>
    <row r="100" spans="8:9" ht="12.75">
      <c r="H100" s="2101" t="str">
        <f>IF(H99-F99-D99=0,"OK",H99-F99-D99)</f>
        <v>OK</v>
      </c>
      <c r="I100" s="2101" t="str">
        <f>IF(I99-G99-E99=0,"OK",I99-G99-E99)</f>
        <v>OK</v>
      </c>
    </row>
  </sheetData>
  <mergeCells count="4">
    <mergeCell ref="D90:E90"/>
    <mergeCell ref="F90:G90"/>
    <mergeCell ref="H90:I90"/>
    <mergeCell ref="B90:C90"/>
  </mergeCells>
  <conditionalFormatting sqref="B5:I5">
    <cfRule type="expression" priority="1" dxfId="0" stopIfTrue="1">
      <formula>B$82&lt;&gt;0</formula>
    </cfRule>
  </conditionalFormatting>
  <printOptions horizontalCentered="1"/>
  <pageMargins left="0.7874015748031497" right="0.7874015748031497" top="0.5905511811023623" bottom="0.5905511811023623" header="0.3937007874015748" footer="0.3937007874015748"/>
  <pageSetup horizontalDpi="600" verticalDpi="600" orientation="landscape" paperSize="9" scale="72" r:id="rId1"/>
  <headerFooter alignWithMargins="0">
    <oddFooter>&amp;L&amp;U                                              &amp;U  
        vállalkozás vezetője
             (képviselője)&amp;C&amp;P/&amp;N&amp;R&amp;A</oddFooter>
  </headerFooter>
  <rowBreaks count="2" manualBreakCount="2">
    <brk id="36" max="8" man="1"/>
    <brk id="65" max="8" man="1"/>
  </rowBreaks>
</worksheet>
</file>

<file path=xl/worksheets/sheet56.xml><?xml version="1.0" encoding="utf-8"?>
<worksheet xmlns="http://schemas.openxmlformats.org/spreadsheetml/2006/main" xmlns:r="http://schemas.openxmlformats.org/officeDocument/2006/relationships">
  <sheetPr codeName="Munka49"/>
  <dimension ref="A1:K26"/>
  <sheetViews>
    <sheetView workbookViewId="0" topLeftCell="A1">
      <selection activeCell="E23" sqref="E23:J24"/>
    </sheetView>
  </sheetViews>
  <sheetFormatPr defaultColWidth="9.00390625" defaultRowHeight="12.75"/>
  <cols>
    <col min="1" max="1" width="11.125" style="1042" customWidth="1"/>
    <col min="2" max="2" width="34.75390625" style="1042" customWidth="1"/>
    <col min="3" max="4" width="2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773</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1" t="s">
        <v>1848</v>
      </c>
      <c r="B5" s="2522"/>
      <c r="C5" s="2519" t="s">
        <v>43</v>
      </c>
      <c r="D5" s="2520"/>
      <c r="E5" s="2490" t="s">
        <v>790</v>
      </c>
      <c r="F5" s="2491"/>
      <c r="G5" s="2492" t="s">
        <v>788</v>
      </c>
      <c r="H5" s="2493"/>
      <c r="I5" s="2494" t="s">
        <v>789</v>
      </c>
      <c r="J5" s="2493"/>
    </row>
    <row r="6" spans="1:10" s="739" customFormat="1" ht="21" customHeight="1" thickBot="1">
      <c r="A6" s="2523"/>
      <c r="B6" s="2524"/>
      <c r="C6" s="1104" t="s">
        <v>603</v>
      </c>
      <c r="D6" s="1105" t="s">
        <v>922</v>
      </c>
      <c r="E6" s="1515" t="s">
        <v>603</v>
      </c>
      <c r="F6" s="1516" t="s">
        <v>922</v>
      </c>
      <c r="G6" s="1517" t="s">
        <v>603</v>
      </c>
      <c r="H6" s="1518" t="s">
        <v>922</v>
      </c>
      <c r="I6" s="1515" t="s">
        <v>603</v>
      </c>
      <c r="J6" s="1518" t="s">
        <v>922</v>
      </c>
    </row>
    <row r="7" spans="1:10" s="744" customFormat="1" ht="21" customHeight="1" hidden="1" thickTop="1">
      <c r="A7" s="1402"/>
      <c r="B7" s="1397"/>
      <c r="C7" s="1398"/>
      <c r="D7" s="1399"/>
      <c r="E7" s="1064"/>
      <c r="F7" s="1064"/>
      <c r="G7" s="1064"/>
      <c r="H7" s="1064"/>
      <c r="I7" s="1064"/>
      <c r="J7" s="1064"/>
    </row>
    <row r="8" spans="1:10" s="744" customFormat="1" ht="21" customHeight="1" thickTop="1">
      <c r="A8" s="1106"/>
      <c r="B8" s="1107"/>
      <c r="C8" s="1115"/>
      <c r="D8" s="1116"/>
      <c r="E8" s="1520"/>
      <c r="F8" s="1521"/>
      <c r="G8" s="1520"/>
      <c r="H8" s="1521"/>
      <c r="I8" s="1522"/>
      <c r="J8" s="1521"/>
    </row>
    <row r="9" spans="1:10" s="744" customFormat="1" ht="21" customHeight="1">
      <c r="A9" s="1106"/>
      <c r="B9" s="1107"/>
      <c r="C9" s="1115"/>
      <c r="D9" s="1116"/>
      <c r="E9" s="1523"/>
      <c r="F9" s="1524"/>
      <c r="G9" s="1523"/>
      <c r="H9" s="1524"/>
      <c r="I9" s="1525"/>
      <c r="J9" s="1524"/>
    </row>
    <row r="10" spans="1:10" s="744" customFormat="1" ht="21" customHeight="1" thickBot="1">
      <c r="A10" s="1108"/>
      <c r="B10" s="1109"/>
      <c r="C10" s="1400"/>
      <c r="D10" s="1401"/>
      <c r="E10" s="1526"/>
      <c r="F10" s="1527"/>
      <c r="G10" s="1526"/>
      <c r="H10" s="1527"/>
      <c r="I10" s="1528"/>
      <c r="J10" s="1527"/>
    </row>
    <row r="11" spans="1:10" s="744" customFormat="1" ht="21" customHeight="1" thickBot="1" thickTop="1">
      <c r="A11" s="2528" t="s">
        <v>1447</v>
      </c>
      <c r="B11" s="2529"/>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394"/>
      <c r="F12" s="1393"/>
      <c r="G12" s="1392"/>
      <c r="H12" s="1393"/>
      <c r="I12" s="1392"/>
      <c r="J12" s="1393"/>
    </row>
    <row r="13" spans="1:10" s="744" customFormat="1" ht="21" customHeight="1" thickTop="1">
      <c r="A13" s="1106"/>
      <c r="B13" s="1114"/>
      <c r="C13" s="1115"/>
      <c r="D13" s="1116"/>
      <c r="E13" s="1333"/>
      <c r="F13" s="1323"/>
      <c r="G13" s="1338"/>
      <c r="H13" s="1323"/>
      <c r="I13" s="1338"/>
      <c r="J13" s="1323"/>
    </row>
    <row r="14" spans="1:10" s="744" customFormat="1" ht="21" customHeight="1">
      <c r="A14" s="139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1" customHeight="1" thickBot="1" thickTop="1">
      <c r="A16" s="2528" t="s">
        <v>348</v>
      </c>
      <c r="B16" s="2529"/>
      <c r="C16" s="1110">
        <f>SUM(C12:C15)</f>
        <v>0</v>
      </c>
      <c r="D16" s="1111">
        <f>SUM(D12:D15)</f>
        <v>0</v>
      </c>
      <c r="E16" s="1326">
        <f>ROUND(C16/1000,0)</f>
        <v>0</v>
      </c>
      <c r="F16" s="1335">
        <f>ROUND(D16/1000,0)</f>
        <v>0</v>
      </c>
      <c r="G16" s="1340"/>
      <c r="H16" s="1341"/>
      <c r="I16" s="1330">
        <f>E16+G16</f>
        <v>0</v>
      </c>
      <c r="J16" s="1327">
        <f>F16+H16</f>
        <v>0</v>
      </c>
    </row>
    <row r="17" spans="1:10" s="744" customFormat="1" ht="21" customHeight="1" hidden="1" thickTop="1">
      <c r="A17" s="1112"/>
      <c r="B17" s="1113"/>
      <c r="C17" s="1398"/>
      <c r="D17" s="1399"/>
      <c r="E17" s="1332"/>
      <c r="F17" s="1332"/>
      <c r="G17" s="1337"/>
      <c r="H17" s="1321"/>
      <c r="I17" s="1337"/>
      <c r="J17" s="1321"/>
    </row>
    <row r="18" spans="1:10" s="744" customFormat="1" ht="21" customHeight="1" thickTop="1">
      <c r="A18" s="1106"/>
      <c r="B18" s="1114"/>
      <c r="C18" s="1115"/>
      <c r="D18" s="1116"/>
      <c r="E18" s="1333"/>
      <c r="F18" s="1333"/>
      <c r="G18" s="1338"/>
      <c r="H18" s="1323"/>
      <c r="I18" s="1338"/>
      <c r="J18" s="1323"/>
    </row>
    <row r="19" spans="1:10" s="744" customFormat="1" ht="21" customHeight="1">
      <c r="A19" s="1106"/>
      <c r="B19" s="1114"/>
      <c r="C19" s="1115"/>
      <c r="D19" s="1116"/>
      <c r="E19" s="1333"/>
      <c r="F19" s="1333"/>
      <c r="G19" s="1338"/>
      <c r="H19" s="1323"/>
      <c r="I19" s="1338"/>
      <c r="J19" s="1323"/>
    </row>
    <row r="20" spans="1:10" s="744" customFormat="1" ht="21" customHeight="1" thickBot="1">
      <c r="A20" s="1118"/>
      <c r="B20" s="1119"/>
      <c r="C20" s="1400"/>
      <c r="D20" s="1401"/>
      <c r="E20" s="1334"/>
      <c r="F20" s="1334"/>
      <c r="G20" s="1339"/>
      <c r="H20" s="1325"/>
      <c r="I20" s="1339"/>
      <c r="J20" s="1325"/>
    </row>
    <row r="21" spans="1:10" s="744" customFormat="1" ht="21" customHeight="1" thickBot="1" thickTop="1">
      <c r="A21" s="2526" t="s">
        <v>1448</v>
      </c>
      <c r="B21" s="2527"/>
      <c r="C21" s="1110">
        <f>SUM(C17:C20)</f>
        <v>0</v>
      </c>
      <c r="D21" s="1111">
        <f>SUM(D17:D20)</f>
        <v>0</v>
      </c>
      <c r="E21" s="1326">
        <f>ROUND(C21/1000,0)</f>
        <v>0</v>
      </c>
      <c r="F21" s="1335">
        <f>ROUND(D21/1000,0)</f>
        <v>0</v>
      </c>
      <c r="G21" s="1340"/>
      <c r="H21" s="1341"/>
      <c r="I21" s="1330">
        <f>E21+G21</f>
        <v>0</v>
      </c>
      <c r="J21" s="1327">
        <f>F21+H21</f>
        <v>0</v>
      </c>
    </row>
    <row r="22" spans="1:10" s="744" customFormat="1" ht="21" customHeight="1" thickBot="1" thickTop="1">
      <c r="A22" s="2525"/>
      <c r="B22" s="2525"/>
      <c r="C22" s="1120"/>
      <c r="D22" s="1120"/>
      <c r="E22" s="1064"/>
      <c r="F22" s="1064"/>
      <c r="G22" s="1064"/>
      <c r="H22" s="1064"/>
      <c r="I22" s="1064"/>
      <c r="J22" s="1064"/>
    </row>
    <row r="23" spans="1:10" s="744" customFormat="1" ht="21" customHeight="1" thickBot="1" thickTop="1">
      <c r="A23" s="2526" t="s">
        <v>770</v>
      </c>
      <c r="B23" s="2527"/>
      <c r="C23" s="1110">
        <f aca="true" t="shared" si="0" ref="C23:H23">SUM(C11,C16,C21)</f>
        <v>0</v>
      </c>
      <c r="D23" s="1111">
        <f t="shared" si="0"/>
        <v>0</v>
      </c>
      <c r="E23" s="1530">
        <f t="shared" si="0"/>
        <v>0</v>
      </c>
      <c r="F23" s="1530">
        <f t="shared" si="0"/>
        <v>0</v>
      </c>
      <c r="G23" s="1530">
        <f t="shared" si="0"/>
        <v>0</v>
      </c>
      <c r="H23" s="1538">
        <f t="shared" si="0"/>
        <v>0</v>
      </c>
      <c r="I23" s="1342">
        <f>ROUND(C23/1000,0)</f>
        <v>0</v>
      </c>
      <c r="J23" s="1343">
        <f>ROUND(D23/1000,0)</f>
        <v>0</v>
      </c>
    </row>
    <row r="24" spans="1:11" s="743" customFormat="1" ht="19.5" customHeight="1" thickBot="1" thickTop="1">
      <c r="A24" s="742"/>
      <c r="B24" s="1036"/>
      <c r="C24" s="1039"/>
      <c r="D24" s="1039"/>
      <c r="E24" s="388"/>
      <c r="F24" s="388"/>
      <c r="G24" s="388"/>
      <c r="H24" s="388"/>
      <c r="I24" s="1345" t="str">
        <f>IF(I23-G23-E23=0,"OK",I23-G23-E23)</f>
        <v>OK</v>
      </c>
      <c r="J24" s="1345" t="str">
        <f>IF(J23-H23-F23=0,"OK",J23-H23-F23)</f>
        <v>OK</v>
      </c>
      <c r="K24" s="1040"/>
    </row>
    <row r="25" spans="1:10" s="743" customFormat="1" ht="19.5" customHeight="1">
      <c r="A25" s="742"/>
      <c r="B25" s="742"/>
      <c r="C25" s="1039"/>
      <c r="D25" s="1039"/>
      <c r="E25" s="1039"/>
      <c r="F25" s="1039"/>
      <c r="G25" s="1039"/>
      <c r="H25" s="1039"/>
      <c r="I25" s="1039"/>
      <c r="J25" s="1039"/>
    </row>
    <row r="26" spans="1:10" s="743" customFormat="1" ht="19.5" customHeight="1">
      <c r="A26" s="742"/>
      <c r="B26" s="1036"/>
      <c r="C26" s="1039"/>
      <c r="D26" s="1039"/>
      <c r="E26" s="1039"/>
      <c r="F26" s="1039"/>
      <c r="G26" s="1039"/>
      <c r="H26" s="1039"/>
      <c r="I26" s="1039"/>
      <c r="J26" s="1039"/>
    </row>
    <row r="27" s="1041" customFormat="1" ht="11.25"/>
    <row r="28" s="1041" customFormat="1" ht="11.25"/>
  </sheetData>
  <mergeCells count="10">
    <mergeCell ref="A5:B6"/>
    <mergeCell ref="A22:B22"/>
    <mergeCell ref="A23:B23"/>
    <mergeCell ref="A11:B11"/>
    <mergeCell ref="A16:B16"/>
    <mergeCell ref="A21:B21"/>
    <mergeCell ref="E5:F5"/>
    <mergeCell ref="G5:H5"/>
    <mergeCell ref="I5:J5"/>
    <mergeCell ref="C5:D5"/>
  </mergeCells>
  <printOptions horizontalCentered="1"/>
  <pageMargins left="0.7874015748031497" right="0.7874015748031497" top="0.5905511811023623" bottom="0.61" header="0.3937007874015748" footer="0.4"/>
  <pageSetup horizontalDpi="600" verticalDpi="600" orientation="portrait" paperSize="9" r:id="rId3"/>
  <headerFooter alignWithMargins="0">
    <oddFooter>&amp;L&amp;U                                                &amp;U
        vállalkozás vezetője
             (képviselője)&amp;C&amp;P/&amp;N&amp;R&amp;A</oddFooter>
  </headerFooter>
  <legacyDrawing r:id="rId2"/>
</worksheet>
</file>

<file path=xl/worksheets/sheet57.xml><?xml version="1.0" encoding="utf-8"?>
<worksheet xmlns="http://schemas.openxmlformats.org/spreadsheetml/2006/main" xmlns:r="http://schemas.openxmlformats.org/officeDocument/2006/relationships">
  <sheetPr codeName="Munka50"/>
  <dimension ref="A1:K26"/>
  <sheetViews>
    <sheetView workbookViewId="0" topLeftCell="A1">
      <selection activeCell="F23" sqref="F23"/>
    </sheetView>
  </sheetViews>
  <sheetFormatPr defaultColWidth="9.00390625" defaultRowHeight="12.75"/>
  <cols>
    <col min="1" max="1" width="11.125" style="1042" customWidth="1"/>
    <col min="2" max="2" width="43.00390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774</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1" t="s">
        <v>1848</v>
      </c>
      <c r="B5" s="2522"/>
      <c r="C5" s="2519" t="s">
        <v>43</v>
      </c>
      <c r="D5" s="2520"/>
      <c r="E5" s="2490" t="s">
        <v>790</v>
      </c>
      <c r="F5" s="2491"/>
      <c r="G5" s="2492" t="s">
        <v>788</v>
      </c>
      <c r="H5" s="2493"/>
      <c r="I5" s="2494" t="s">
        <v>789</v>
      </c>
      <c r="J5" s="2493"/>
    </row>
    <row r="6" spans="1:10" s="739" customFormat="1" ht="21" customHeight="1" thickBot="1">
      <c r="A6" s="2523"/>
      <c r="B6" s="2524"/>
      <c r="C6" s="1104" t="s">
        <v>603</v>
      </c>
      <c r="D6" s="1105" t="s">
        <v>922</v>
      </c>
      <c r="E6" s="1515" t="s">
        <v>603</v>
      </c>
      <c r="F6" s="1516" t="s">
        <v>922</v>
      </c>
      <c r="G6" s="1517" t="s">
        <v>603</v>
      </c>
      <c r="H6" s="1518" t="s">
        <v>922</v>
      </c>
      <c r="I6" s="1515" t="s">
        <v>603</v>
      </c>
      <c r="J6" s="1518" t="s">
        <v>922</v>
      </c>
    </row>
    <row r="7" spans="1:10" s="744" customFormat="1" ht="21" customHeight="1" hidden="1" thickTop="1">
      <c r="A7" s="1112"/>
      <c r="B7" s="1397"/>
      <c r="C7" s="1398"/>
      <c r="D7" s="1399"/>
      <c r="E7" s="1064"/>
      <c r="F7" s="1064"/>
      <c r="G7" s="1064"/>
      <c r="H7" s="1064"/>
      <c r="I7" s="1064"/>
      <c r="J7" s="1064"/>
    </row>
    <row r="8" spans="1:10" s="744" customFormat="1" ht="21" customHeight="1" thickTop="1">
      <c r="A8" s="1106"/>
      <c r="B8" s="1107"/>
      <c r="C8" s="1115"/>
      <c r="D8" s="1116"/>
      <c r="E8" s="1520"/>
      <c r="F8" s="1521"/>
      <c r="G8" s="1520"/>
      <c r="H8" s="1521"/>
      <c r="I8" s="1522"/>
      <c r="J8" s="1521"/>
    </row>
    <row r="9" spans="1:10" s="744" customFormat="1" ht="21" customHeight="1">
      <c r="A9" s="1106"/>
      <c r="B9" s="1107"/>
      <c r="C9" s="1115"/>
      <c r="D9" s="1116"/>
      <c r="E9" s="1523"/>
      <c r="F9" s="1524"/>
      <c r="G9" s="1523"/>
      <c r="H9" s="1524"/>
      <c r="I9" s="1525"/>
      <c r="J9" s="1524"/>
    </row>
    <row r="10" spans="1:10" s="744" customFormat="1" ht="21" customHeight="1" thickBot="1">
      <c r="A10" s="1108"/>
      <c r="B10" s="1109"/>
      <c r="C10" s="1400"/>
      <c r="D10" s="1401"/>
      <c r="E10" s="1526"/>
      <c r="F10" s="1527"/>
      <c r="G10" s="1526"/>
      <c r="H10" s="1527"/>
      <c r="I10" s="1528"/>
      <c r="J10" s="1527"/>
    </row>
    <row r="11" spans="1:10" s="744" customFormat="1" ht="22.5" customHeight="1" thickBot="1" thickTop="1">
      <c r="A11" s="2461" t="s">
        <v>379</v>
      </c>
      <c r="B11" s="2462"/>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394"/>
      <c r="F12" s="1393"/>
      <c r="G12" s="1392"/>
      <c r="H12" s="1393"/>
      <c r="I12" s="1392"/>
      <c r="J12" s="1393"/>
    </row>
    <row r="13" spans="1:10" s="744" customFormat="1" ht="21" customHeight="1" thickTop="1">
      <c r="A13" s="1106"/>
      <c r="B13" s="1114"/>
      <c r="C13" s="1115"/>
      <c r="D13" s="1116"/>
      <c r="E13" s="1333"/>
      <c r="F13" s="1323"/>
      <c r="G13" s="1338"/>
      <c r="H13" s="1323"/>
      <c r="I13" s="1338"/>
      <c r="J13" s="1323"/>
    </row>
    <row r="14" spans="1:10" s="744" customFormat="1" ht="21" customHeight="1">
      <c r="A14" s="110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6.25" customHeight="1" thickBot="1" thickTop="1">
      <c r="A16" s="2461" t="s">
        <v>326</v>
      </c>
      <c r="B16" s="2462"/>
      <c r="C16" s="1110">
        <f>SUM(C12:C15)</f>
        <v>0</v>
      </c>
      <c r="D16" s="1111">
        <f>SUM(D12:D15)</f>
        <v>0</v>
      </c>
      <c r="E16" s="1326">
        <f>ROUND(C16/1000,0)</f>
        <v>0</v>
      </c>
      <c r="F16" s="1335">
        <f>ROUND(D16/1000,0)</f>
        <v>0</v>
      </c>
      <c r="G16" s="1340"/>
      <c r="H16" s="1341"/>
      <c r="I16" s="1330">
        <f>E16+G16</f>
        <v>0</v>
      </c>
      <c r="J16" s="1327">
        <f>F16+H16</f>
        <v>0</v>
      </c>
    </row>
    <row r="17" spans="1:10" s="744" customFormat="1" ht="21" customHeight="1" hidden="1" thickTop="1">
      <c r="A17" s="1112"/>
      <c r="B17" s="1113"/>
      <c r="C17" s="1398"/>
      <c r="D17" s="1399"/>
      <c r="E17" s="1332"/>
      <c r="F17" s="1332"/>
      <c r="G17" s="1337"/>
      <c r="H17" s="1321"/>
      <c r="I17" s="1337"/>
      <c r="J17" s="1321"/>
    </row>
    <row r="18" spans="1:10" s="744" customFormat="1" ht="21" customHeight="1" thickTop="1">
      <c r="A18" s="1106"/>
      <c r="B18" s="1114"/>
      <c r="C18" s="1115"/>
      <c r="D18" s="1116"/>
      <c r="E18" s="1333"/>
      <c r="F18" s="1333"/>
      <c r="G18" s="1338"/>
      <c r="H18" s="1323"/>
      <c r="I18" s="1338"/>
      <c r="J18" s="1323"/>
    </row>
    <row r="19" spans="1:10" s="744" customFormat="1" ht="21" customHeight="1">
      <c r="A19" s="1106"/>
      <c r="B19" s="1114"/>
      <c r="C19" s="1115"/>
      <c r="D19" s="1116"/>
      <c r="E19" s="1333"/>
      <c r="F19" s="1333"/>
      <c r="G19" s="1338"/>
      <c r="H19" s="1323"/>
      <c r="I19" s="1338"/>
      <c r="J19" s="1323"/>
    </row>
    <row r="20" spans="1:10" s="744" customFormat="1" ht="21" customHeight="1" thickBot="1">
      <c r="A20" s="1118"/>
      <c r="B20" s="1119"/>
      <c r="C20" s="1400"/>
      <c r="D20" s="1401"/>
      <c r="E20" s="1334"/>
      <c r="F20" s="1334"/>
      <c r="G20" s="1339"/>
      <c r="H20" s="1325"/>
      <c r="I20" s="1339"/>
      <c r="J20" s="1325"/>
    </row>
    <row r="21" spans="1:10" s="744" customFormat="1" ht="24.75" customHeight="1" thickBot="1" thickTop="1">
      <c r="A21" s="2461" t="s">
        <v>1213</v>
      </c>
      <c r="B21" s="2462"/>
      <c r="C21" s="1110">
        <f>SUM(C17:C20)</f>
        <v>0</v>
      </c>
      <c r="D21" s="1111">
        <f>SUM(D17:D20)</f>
        <v>0</v>
      </c>
      <c r="E21" s="1326">
        <f>ROUND(C21/1000,0)</f>
        <v>0</v>
      </c>
      <c r="F21" s="1335">
        <f>ROUND(D21/1000,0)</f>
        <v>0</v>
      </c>
      <c r="G21" s="1340"/>
      <c r="H21" s="1341"/>
      <c r="I21" s="1330">
        <f>E21+G21</f>
        <v>0</v>
      </c>
      <c r="J21" s="1327">
        <f>F21+H21</f>
        <v>0</v>
      </c>
    </row>
    <row r="22" spans="1:10" s="744" customFormat="1" ht="21" customHeight="1" thickBot="1" thickTop="1">
      <c r="A22" s="2525"/>
      <c r="B22" s="2525"/>
      <c r="C22" s="1120"/>
      <c r="D22" s="1120"/>
      <c r="E22" s="1064"/>
      <c r="F22" s="1064"/>
      <c r="G22" s="1064"/>
      <c r="H22" s="1064"/>
      <c r="I22" s="1064"/>
      <c r="J22" s="1064"/>
    </row>
    <row r="23" spans="1:10" s="744" customFormat="1" ht="21" customHeight="1" thickBot="1" thickTop="1">
      <c r="A23" s="2526" t="s">
        <v>775</v>
      </c>
      <c r="B23" s="2527"/>
      <c r="C23" s="1110">
        <f aca="true" t="shared" si="0" ref="C23:H23">SUM(C11,C16,C21)</f>
        <v>0</v>
      </c>
      <c r="D23" s="1111">
        <f t="shared" si="0"/>
        <v>0</v>
      </c>
      <c r="E23" s="1530">
        <f t="shared" si="0"/>
        <v>0</v>
      </c>
      <c r="F23" s="1530">
        <f t="shared" si="0"/>
        <v>0</v>
      </c>
      <c r="G23" s="1530">
        <f t="shared" si="0"/>
        <v>0</v>
      </c>
      <c r="H23" s="1538">
        <f t="shared" si="0"/>
        <v>0</v>
      </c>
      <c r="I23" s="1342">
        <f>ROUND(C23/1000,0)</f>
        <v>0</v>
      </c>
      <c r="J23" s="1343">
        <f>ROUND(D23/1000,0)</f>
        <v>0</v>
      </c>
    </row>
    <row r="24" spans="1:11" s="743" customFormat="1" ht="19.5" customHeight="1" thickBot="1" thickTop="1">
      <c r="A24" s="742"/>
      <c r="B24" s="1036"/>
      <c r="C24" s="1039"/>
      <c r="D24" s="1039"/>
      <c r="E24" s="388"/>
      <c r="F24" s="388"/>
      <c r="G24" s="388"/>
      <c r="H24" s="388"/>
      <c r="I24" s="1345" t="str">
        <f>IF(I23-G23-E23=0,"OK",I23-G23-E23)</f>
        <v>OK</v>
      </c>
      <c r="J24" s="1345" t="str">
        <f>IF(J23-H23-F23=0,"OK",J23-H23-F23)</f>
        <v>OK</v>
      </c>
      <c r="K24" s="1040"/>
    </row>
    <row r="25" spans="1:10" s="743" customFormat="1" ht="19.5" customHeight="1">
      <c r="A25" s="742"/>
      <c r="B25" s="742"/>
      <c r="C25" s="1039"/>
      <c r="D25" s="1039"/>
      <c r="E25" s="1039"/>
      <c r="F25" s="1039"/>
      <c r="G25" s="1039"/>
      <c r="H25" s="1039"/>
      <c r="I25" s="1039"/>
      <c r="J25" s="1039"/>
    </row>
    <row r="26" spans="1:10" s="743" customFormat="1" ht="19.5" customHeight="1">
      <c r="A26" s="742"/>
      <c r="B26" s="1036"/>
      <c r="C26" s="1039"/>
      <c r="D26" s="1039"/>
      <c r="E26" s="1039"/>
      <c r="F26" s="1039"/>
      <c r="G26" s="1039"/>
      <c r="H26" s="1039"/>
      <c r="I26" s="1039"/>
      <c r="J26" s="1039"/>
    </row>
    <row r="27" s="1041" customFormat="1" ht="11.25"/>
    <row r="28" s="1041" customFormat="1" ht="11.25"/>
  </sheetData>
  <mergeCells count="10">
    <mergeCell ref="A5:B6"/>
    <mergeCell ref="A22:B22"/>
    <mergeCell ref="A23:B23"/>
    <mergeCell ref="A11:B11"/>
    <mergeCell ref="A16:B16"/>
    <mergeCell ref="A21:B21"/>
    <mergeCell ref="E5:F5"/>
    <mergeCell ref="G5:H5"/>
    <mergeCell ref="I5:J5"/>
    <mergeCell ref="C5:D5"/>
  </mergeCells>
  <printOptions horizontalCentered="1"/>
  <pageMargins left="0.7874015748031497" right="0.7874015748031497" top="0.5905511811023623" bottom="0.61" header="0.3937007874015748" footer="0.4"/>
  <pageSetup horizontalDpi="600" verticalDpi="600" orientation="portrait" paperSize="9" r:id="rId1"/>
  <headerFooter alignWithMargins="0">
    <oddFooter>&amp;L&amp;U                                                &amp;U
        vállalkozás vezetője
             (képviselője)&amp;C&amp;P/&amp;N&amp;R&amp;A</oddFooter>
  </headerFooter>
</worksheet>
</file>

<file path=xl/worksheets/sheet58.xml><?xml version="1.0" encoding="utf-8"?>
<worksheet xmlns="http://schemas.openxmlformats.org/spreadsheetml/2006/main" xmlns:r="http://schemas.openxmlformats.org/officeDocument/2006/relationships">
  <sheetPr codeName="Munka51"/>
  <dimension ref="A1:K49"/>
  <sheetViews>
    <sheetView workbookViewId="0" topLeftCell="A1">
      <pane ySplit="6" topLeftCell="BM7" activePane="bottomLeft" state="frozen"/>
      <selection pane="topLeft" activeCell="A1" sqref="A1"/>
      <selection pane="bottomLeft" activeCell="N18" sqref="N18"/>
    </sheetView>
  </sheetViews>
  <sheetFormatPr defaultColWidth="9.00390625" defaultRowHeight="12.75"/>
  <cols>
    <col min="1" max="1" width="11.125" style="1042" customWidth="1"/>
    <col min="2" max="2" width="42.25390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776</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469" t="s">
        <v>1848</v>
      </c>
      <c r="B5" s="2530"/>
      <c r="C5" s="2498" t="s">
        <v>43</v>
      </c>
      <c r="D5" s="2464"/>
      <c r="E5" s="2490" t="s">
        <v>790</v>
      </c>
      <c r="F5" s="2491"/>
      <c r="G5" s="2492" t="s">
        <v>788</v>
      </c>
      <c r="H5" s="2493"/>
      <c r="I5" s="2494" t="s">
        <v>789</v>
      </c>
      <c r="J5" s="2493"/>
    </row>
    <row r="6" spans="1:10" s="739" customFormat="1" ht="21" customHeight="1" thickBot="1">
      <c r="A6" s="2470"/>
      <c r="B6" s="2531"/>
      <c r="C6" s="982" t="s">
        <v>603</v>
      </c>
      <c r="D6" s="773" t="s">
        <v>922</v>
      </c>
      <c r="E6" s="1515" t="s">
        <v>603</v>
      </c>
      <c r="F6" s="1516" t="s">
        <v>922</v>
      </c>
      <c r="G6" s="1517" t="s">
        <v>603</v>
      </c>
      <c r="H6" s="1518" t="s">
        <v>922</v>
      </c>
      <c r="I6" s="1515" t="s">
        <v>603</v>
      </c>
      <c r="J6" s="1518" t="s">
        <v>922</v>
      </c>
    </row>
    <row r="7" spans="1:10" s="744" customFormat="1" ht="21" customHeight="1" hidden="1" thickTop="1">
      <c r="A7" s="1121"/>
      <c r="B7" s="1122"/>
      <c r="C7" s="789"/>
      <c r="D7" s="1123"/>
      <c r="E7" s="988"/>
      <c r="F7" s="988"/>
      <c r="G7" s="988"/>
      <c r="H7" s="988"/>
      <c r="I7" s="778"/>
      <c r="J7" s="778"/>
    </row>
    <row r="8" spans="1:10" s="744" customFormat="1" ht="21" customHeight="1" thickTop="1">
      <c r="A8" s="1124"/>
      <c r="B8" s="1125"/>
      <c r="C8" s="781"/>
      <c r="D8" s="1126"/>
      <c r="E8" s="1520"/>
      <c r="F8" s="1521"/>
      <c r="G8" s="1520"/>
      <c r="H8" s="1521"/>
      <c r="I8" s="1522"/>
      <c r="J8" s="1521"/>
    </row>
    <row r="9" spans="1:10" s="744" customFormat="1" ht="21" customHeight="1">
      <c r="A9" s="1124"/>
      <c r="B9" s="1125"/>
      <c r="C9" s="781"/>
      <c r="D9" s="1126"/>
      <c r="E9" s="1523"/>
      <c r="F9" s="1524"/>
      <c r="G9" s="1523"/>
      <c r="H9" s="1524"/>
      <c r="I9" s="1525"/>
      <c r="J9" s="1524"/>
    </row>
    <row r="10" spans="1:10" s="744" customFormat="1" ht="21" customHeight="1" thickBot="1">
      <c r="A10" s="1127"/>
      <c r="B10" s="1128"/>
      <c r="C10" s="1143"/>
      <c r="D10" s="1144"/>
      <c r="E10" s="1526"/>
      <c r="F10" s="1527"/>
      <c r="G10" s="1526"/>
      <c r="H10" s="1527"/>
      <c r="I10" s="1528"/>
      <c r="J10" s="1527"/>
    </row>
    <row r="11" spans="1:10" s="744" customFormat="1" ht="21" customHeight="1" thickBot="1" thickTop="1">
      <c r="A11" s="1129" t="s">
        <v>1450</v>
      </c>
      <c r="B11" s="1129"/>
      <c r="C11" s="1130">
        <f>SUM(C7:C10)</f>
        <v>0</v>
      </c>
      <c r="D11" s="1131">
        <f>SUM(D7:D10)</f>
        <v>0</v>
      </c>
      <c r="E11" s="1326">
        <f>ROUND(C11/1000,0)</f>
        <v>0</v>
      </c>
      <c r="F11" s="1335">
        <f>ROUND(D11/1000,0)</f>
        <v>0</v>
      </c>
      <c r="G11" s="1340"/>
      <c r="H11" s="1341"/>
      <c r="I11" s="1330">
        <f>E11+G11</f>
        <v>0</v>
      </c>
      <c r="J11" s="1327">
        <f>F11+H11</f>
        <v>0</v>
      </c>
    </row>
    <row r="12" spans="1:10" s="744" customFormat="1" ht="21" customHeight="1" hidden="1" thickTop="1">
      <c r="A12" s="1121"/>
      <c r="B12" s="1122"/>
      <c r="C12" s="789"/>
      <c r="D12" s="1123"/>
      <c r="E12" s="1394"/>
      <c r="F12" s="1393"/>
      <c r="G12" s="1392"/>
      <c r="H12" s="1393"/>
      <c r="I12" s="1392"/>
      <c r="J12" s="1393"/>
    </row>
    <row r="13" spans="1:10" s="744" customFormat="1" ht="21" customHeight="1" thickTop="1">
      <c r="A13" s="1124"/>
      <c r="B13" s="1125"/>
      <c r="C13" s="781"/>
      <c r="D13" s="1126"/>
      <c r="E13" s="1333"/>
      <c r="F13" s="1323"/>
      <c r="G13" s="1338"/>
      <c r="H13" s="1323"/>
      <c r="I13" s="1338"/>
      <c r="J13" s="1323"/>
    </row>
    <row r="14" spans="1:10" s="744" customFormat="1" ht="21" customHeight="1">
      <c r="A14" s="1124"/>
      <c r="B14" s="1125"/>
      <c r="C14" s="781"/>
      <c r="D14" s="1126"/>
      <c r="E14" s="1333"/>
      <c r="F14" s="1323"/>
      <c r="G14" s="1338"/>
      <c r="H14" s="1323"/>
      <c r="I14" s="1338"/>
      <c r="J14" s="1323"/>
    </row>
    <row r="15" spans="1:10" s="744" customFormat="1" ht="21" customHeight="1" thickBot="1">
      <c r="A15" s="1127"/>
      <c r="B15" s="1128"/>
      <c r="C15" s="1143"/>
      <c r="D15" s="1144"/>
      <c r="E15" s="1334"/>
      <c r="F15" s="1325"/>
      <c r="G15" s="1339"/>
      <c r="H15" s="1325"/>
      <c r="I15" s="1339"/>
      <c r="J15" s="1325"/>
    </row>
    <row r="16" spans="1:10" s="744" customFormat="1" ht="21" customHeight="1" thickBot="1" thickTop="1">
      <c r="A16" s="1129" t="s">
        <v>1451</v>
      </c>
      <c r="B16" s="1129"/>
      <c r="C16" s="1130">
        <f>SUM(C12:C15)</f>
        <v>0</v>
      </c>
      <c r="D16" s="1131">
        <f>SUM(D12:D15)</f>
        <v>0</v>
      </c>
      <c r="E16" s="1326">
        <f>ROUND(C16/1000,0)</f>
        <v>0</v>
      </c>
      <c r="F16" s="1335">
        <f>ROUND(D16/1000,0)</f>
        <v>0</v>
      </c>
      <c r="G16" s="1340"/>
      <c r="H16" s="1341"/>
      <c r="I16" s="1330">
        <f>E16+G16</f>
        <v>0</v>
      </c>
      <c r="J16" s="1327">
        <f>F16+H16</f>
        <v>0</v>
      </c>
    </row>
    <row r="17" spans="1:10" s="744" customFormat="1" ht="21" customHeight="1" hidden="1" thickTop="1">
      <c r="A17" s="1121"/>
      <c r="B17" s="1122"/>
      <c r="C17" s="789"/>
      <c r="D17" s="1123"/>
      <c r="E17" s="1332"/>
      <c r="F17" s="1332"/>
      <c r="G17" s="1337"/>
      <c r="H17" s="1321"/>
      <c r="I17" s="1337"/>
      <c r="J17" s="1321"/>
    </row>
    <row r="18" spans="1:10" s="744" customFormat="1" ht="21" customHeight="1" thickTop="1">
      <c r="A18" s="1124"/>
      <c r="B18" s="1125"/>
      <c r="C18" s="781"/>
      <c r="D18" s="1126"/>
      <c r="E18" s="1333"/>
      <c r="F18" s="1333"/>
      <c r="G18" s="1338"/>
      <c r="H18" s="1323"/>
      <c r="I18" s="1338"/>
      <c r="J18" s="1323"/>
    </row>
    <row r="19" spans="1:10" s="744" customFormat="1" ht="21" customHeight="1">
      <c r="A19" s="1124"/>
      <c r="B19" s="1125"/>
      <c r="C19" s="781"/>
      <c r="D19" s="1126"/>
      <c r="E19" s="1333"/>
      <c r="F19" s="1333"/>
      <c r="G19" s="1338"/>
      <c r="H19" s="1323"/>
      <c r="I19" s="1338"/>
      <c r="J19" s="1323"/>
    </row>
    <row r="20" spans="1:10" s="744" customFormat="1" ht="21" customHeight="1" thickBot="1">
      <c r="A20" s="1127"/>
      <c r="B20" s="1128"/>
      <c r="C20" s="1143"/>
      <c r="D20" s="1144"/>
      <c r="E20" s="1334"/>
      <c r="F20" s="1334"/>
      <c r="G20" s="1339"/>
      <c r="H20" s="1325"/>
      <c r="I20" s="1339"/>
      <c r="J20" s="1325"/>
    </row>
    <row r="21" spans="1:10" s="744" customFormat="1" ht="21" customHeight="1" thickBot="1" thickTop="1">
      <c r="A21" s="1129" t="s">
        <v>1452</v>
      </c>
      <c r="B21" s="1129"/>
      <c r="C21" s="1130">
        <f>SUM(C17:C20)</f>
        <v>0</v>
      </c>
      <c r="D21" s="1131">
        <f>SUM(D17:D20)</f>
        <v>0</v>
      </c>
      <c r="E21" s="1326">
        <f>ROUND(C21/1000,0)</f>
        <v>0</v>
      </c>
      <c r="F21" s="1335">
        <f>ROUND(D21/1000,0)</f>
        <v>0</v>
      </c>
      <c r="G21" s="1340"/>
      <c r="H21" s="1341"/>
      <c r="I21" s="1330">
        <f>E21+G21</f>
        <v>0</v>
      </c>
      <c r="J21" s="1327">
        <f>F21+H21</f>
        <v>0</v>
      </c>
    </row>
    <row r="22" spans="1:10" s="744" customFormat="1" ht="21" customHeight="1" hidden="1" thickTop="1">
      <c r="A22" s="1121"/>
      <c r="B22" s="1122"/>
      <c r="C22" s="789"/>
      <c r="D22" s="1123"/>
      <c r="E22" s="1320"/>
      <c r="F22" s="1332"/>
      <c r="G22" s="1337"/>
      <c r="H22" s="1321"/>
      <c r="I22" s="1337"/>
      <c r="J22" s="1321"/>
    </row>
    <row r="23" spans="1:10" s="744" customFormat="1" ht="21" customHeight="1" thickTop="1">
      <c r="A23" s="1124"/>
      <c r="B23" s="1125"/>
      <c r="C23" s="781"/>
      <c r="D23" s="1126"/>
      <c r="E23" s="1322"/>
      <c r="F23" s="1333"/>
      <c r="G23" s="1338"/>
      <c r="H23" s="1323"/>
      <c r="I23" s="1338"/>
      <c r="J23" s="1323"/>
    </row>
    <row r="24" spans="1:10" s="744" customFormat="1" ht="21" customHeight="1">
      <c r="A24" s="1124"/>
      <c r="B24" s="1125"/>
      <c r="C24" s="781"/>
      <c r="D24" s="1126"/>
      <c r="E24" s="1322"/>
      <c r="F24" s="1333"/>
      <c r="G24" s="1338"/>
      <c r="H24" s="1323"/>
      <c r="I24" s="1338"/>
      <c r="J24" s="1323"/>
    </row>
    <row r="25" spans="1:11" s="743" customFormat="1" ht="21" customHeight="1" thickBot="1">
      <c r="A25" s="1127"/>
      <c r="B25" s="1128"/>
      <c r="C25" s="1143"/>
      <c r="D25" s="1144"/>
      <c r="E25" s="1324"/>
      <c r="F25" s="1334"/>
      <c r="G25" s="1339"/>
      <c r="H25" s="1325"/>
      <c r="I25" s="1339"/>
      <c r="J25" s="1325"/>
      <c r="K25" s="1040"/>
    </row>
    <row r="26" spans="1:10" s="743" customFormat="1" ht="21" customHeight="1" thickBot="1" thickTop="1">
      <c r="A26" s="1129" t="s">
        <v>1453</v>
      </c>
      <c r="B26" s="1129"/>
      <c r="C26" s="1130">
        <f>SUM(C22:C25)</f>
        <v>0</v>
      </c>
      <c r="D26" s="1131">
        <f>SUM(D22:D25)</f>
        <v>0</v>
      </c>
      <c r="E26" s="1326">
        <f>ROUND(C26/1000,0)</f>
        <v>0</v>
      </c>
      <c r="F26" s="1335">
        <f>ROUND(D26/1000,0)</f>
        <v>0</v>
      </c>
      <c r="G26" s="1340"/>
      <c r="H26" s="1341"/>
      <c r="I26" s="1330">
        <f>E26+G26</f>
        <v>0</v>
      </c>
      <c r="J26" s="1327">
        <f>F26+H26</f>
        <v>0</v>
      </c>
    </row>
    <row r="27" spans="1:10" s="743" customFormat="1" ht="21" customHeight="1" hidden="1" thickTop="1">
      <c r="A27" s="1121"/>
      <c r="B27" s="1122"/>
      <c r="C27" s="789"/>
      <c r="D27" s="1123"/>
      <c r="E27" s="1320"/>
      <c r="F27" s="1332"/>
      <c r="G27" s="1337"/>
      <c r="H27" s="1321"/>
      <c r="I27" s="1337"/>
      <c r="J27" s="1321"/>
    </row>
    <row r="28" spans="1:10" s="1041" customFormat="1" ht="21" customHeight="1" thickTop="1">
      <c r="A28" s="1124"/>
      <c r="B28" s="1125"/>
      <c r="C28" s="781"/>
      <c r="D28" s="1126"/>
      <c r="E28" s="1322"/>
      <c r="F28" s="1333"/>
      <c r="G28" s="1338"/>
      <c r="H28" s="1323"/>
      <c r="I28" s="1338"/>
      <c r="J28" s="1323"/>
    </row>
    <row r="29" spans="1:10" s="1041" customFormat="1" ht="21" customHeight="1">
      <c r="A29" s="1124"/>
      <c r="B29" s="1125"/>
      <c r="C29" s="781"/>
      <c r="D29" s="1126"/>
      <c r="E29" s="1322"/>
      <c r="F29" s="1333"/>
      <c r="G29" s="1338"/>
      <c r="H29" s="1323"/>
      <c r="I29" s="1338"/>
      <c r="J29" s="1323"/>
    </row>
    <row r="30" spans="1:10" s="1041" customFormat="1" ht="21" customHeight="1" thickBot="1">
      <c r="A30" s="1127"/>
      <c r="B30" s="1128"/>
      <c r="C30" s="1143"/>
      <c r="D30" s="1144"/>
      <c r="E30" s="1324"/>
      <c r="F30" s="1334"/>
      <c r="G30" s="1339"/>
      <c r="H30" s="1325"/>
      <c r="I30" s="1339"/>
      <c r="J30" s="1325"/>
    </row>
    <row r="31" spans="1:10" ht="21" customHeight="1" thickBot="1" thickTop="1">
      <c r="A31" s="1129" t="s">
        <v>1454</v>
      </c>
      <c r="B31" s="1129"/>
      <c r="C31" s="1130">
        <f>SUM(C27:C30)</f>
        <v>0</v>
      </c>
      <c r="D31" s="1131">
        <f>SUM(D27:D30)</f>
        <v>0</v>
      </c>
      <c r="E31" s="1326">
        <f>ROUND(C31/1000,0)</f>
        <v>0</v>
      </c>
      <c r="F31" s="1335">
        <f>ROUND(D31/1000,0)</f>
        <v>0</v>
      </c>
      <c r="G31" s="1340"/>
      <c r="H31" s="1341"/>
      <c r="I31" s="1330">
        <f>E31+G31</f>
        <v>0</v>
      </c>
      <c r="J31" s="1327">
        <f>F31+H31</f>
        <v>0</v>
      </c>
    </row>
    <row r="32" spans="1:4" ht="21" customHeight="1" hidden="1" thickTop="1">
      <c r="A32" s="1121"/>
      <c r="B32" s="1122"/>
      <c r="C32" s="789"/>
      <c r="D32" s="1123"/>
    </row>
    <row r="33" spans="1:10" ht="21" customHeight="1" thickTop="1">
      <c r="A33" s="1124"/>
      <c r="B33" s="1125"/>
      <c r="C33" s="781"/>
      <c r="D33" s="1126"/>
      <c r="E33" s="1322"/>
      <c r="F33" s="1333"/>
      <c r="G33" s="1338"/>
      <c r="H33" s="1323"/>
      <c r="I33" s="1338"/>
      <c r="J33" s="1323"/>
    </row>
    <row r="34" spans="1:10" ht="21" customHeight="1">
      <c r="A34" s="1124"/>
      <c r="B34" s="1125"/>
      <c r="C34" s="781"/>
      <c r="D34" s="1126"/>
      <c r="E34" s="1322"/>
      <c r="F34" s="1333"/>
      <c r="G34" s="1338"/>
      <c r="H34" s="1323"/>
      <c r="I34" s="1338"/>
      <c r="J34" s="1323"/>
    </row>
    <row r="35" spans="1:10" ht="21" customHeight="1" thickBot="1">
      <c r="A35" s="1127"/>
      <c r="B35" s="1128"/>
      <c r="C35" s="1143"/>
      <c r="D35" s="1144"/>
      <c r="E35" s="1324"/>
      <c r="F35" s="1334"/>
      <c r="G35" s="1339"/>
      <c r="H35" s="1325"/>
      <c r="I35" s="1339"/>
      <c r="J35" s="1325"/>
    </row>
    <row r="36" spans="1:10" ht="21" customHeight="1" thickBot="1" thickTop="1">
      <c r="A36" s="2532" t="s">
        <v>1224</v>
      </c>
      <c r="B36" s="2533"/>
      <c r="C36" s="1130">
        <f>SUM(C32:C35)</f>
        <v>0</v>
      </c>
      <c r="D36" s="1131">
        <f>SUM(D32:D35)</f>
        <v>0</v>
      </c>
      <c r="E36" s="1326">
        <f>ROUND(C36/1000,0)</f>
        <v>0</v>
      </c>
      <c r="F36" s="1335">
        <f>ROUND(D36/1000,0)</f>
        <v>0</v>
      </c>
      <c r="G36" s="1340"/>
      <c r="H36" s="1341"/>
      <c r="I36" s="1330">
        <f>E36+G36</f>
        <v>0</v>
      </c>
      <c r="J36" s="1327">
        <f>F36+H36</f>
        <v>0</v>
      </c>
    </row>
    <row r="37" spans="1:4" ht="21" customHeight="1" hidden="1" thickTop="1">
      <c r="A37" s="1121"/>
      <c r="B37" s="1122"/>
      <c r="C37" s="789"/>
      <c r="D37" s="1123"/>
    </row>
    <row r="38" spans="1:10" ht="21" customHeight="1" thickTop="1">
      <c r="A38" s="1124"/>
      <c r="B38" s="1125"/>
      <c r="C38" s="781"/>
      <c r="D38" s="1126"/>
      <c r="E38" s="1322"/>
      <c r="F38" s="1333"/>
      <c r="G38" s="1338"/>
      <c r="H38" s="1323"/>
      <c r="I38" s="1338"/>
      <c r="J38" s="1323"/>
    </row>
    <row r="39" spans="1:10" ht="21" customHeight="1">
      <c r="A39" s="1124"/>
      <c r="B39" s="1125"/>
      <c r="C39" s="781"/>
      <c r="D39" s="1126"/>
      <c r="E39" s="1322"/>
      <c r="F39" s="1333"/>
      <c r="G39" s="1338"/>
      <c r="H39" s="1323"/>
      <c r="I39" s="1338"/>
      <c r="J39" s="1323"/>
    </row>
    <row r="40" spans="1:10" ht="21" customHeight="1" thickBot="1">
      <c r="A40" s="1127"/>
      <c r="B40" s="1128"/>
      <c r="C40" s="1143"/>
      <c r="D40" s="1144"/>
      <c r="E40" s="1324"/>
      <c r="F40" s="1334"/>
      <c r="G40" s="1339"/>
      <c r="H40" s="1325"/>
      <c r="I40" s="1339"/>
      <c r="J40" s="1325"/>
    </row>
    <row r="41" spans="1:10" ht="23.25" customHeight="1" thickBot="1" thickTop="1">
      <c r="A41" s="2532" t="s">
        <v>1849</v>
      </c>
      <c r="B41" s="2533"/>
      <c r="C41" s="1130">
        <f>SUM(C37:C40)</f>
        <v>0</v>
      </c>
      <c r="D41" s="1131">
        <f>SUM(D37:D40)</f>
        <v>0</v>
      </c>
      <c r="E41" s="1326">
        <f>ROUND(C41/1000,0)</f>
        <v>0</v>
      </c>
      <c r="F41" s="1335">
        <f>ROUND(D41/1000,0)</f>
        <v>0</v>
      </c>
      <c r="G41" s="1340"/>
      <c r="H41" s="1341"/>
      <c r="I41" s="1330">
        <f>E41+G41</f>
        <v>0</v>
      </c>
      <c r="J41" s="1327">
        <f>F41+H41</f>
        <v>0</v>
      </c>
    </row>
    <row r="42" spans="1:4" ht="21" customHeight="1" hidden="1" thickTop="1">
      <c r="A42" s="1121"/>
      <c r="B42" s="1122"/>
      <c r="C42" s="789"/>
      <c r="D42" s="1123"/>
    </row>
    <row r="43" spans="1:10" ht="21" customHeight="1" thickTop="1">
      <c r="A43" s="1124"/>
      <c r="B43" s="1125"/>
      <c r="C43" s="781"/>
      <c r="D43" s="1126"/>
      <c r="E43" s="1322"/>
      <c r="F43" s="1333"/>
      <c r="G43" s="1338"/>
      <c r="H43" s="1323"/>
      <c r="I43" s="1338"/>
      <c r="J43" s="1323"/>
    </row>
    <row r="44" spans="1:10" ht="21" customHeight="1">
      <c r="A44" s="1124"/>
      <c r="B44" s="1125"/>
      <c r="C44" s="781"/>
      <c r="D44" s="1126"/>
      <c r="E44" s="1322"/>
      <c r="F44" s="1333"/>
      <c r="G44" s="1338"/>
      <c r="H44" s="1323"/>
      <c r="I44" s="1338"/>
      <c r="J44" s="1323"/>
    </row>
    <row r="45" spans="1:10" ht="21" customHeight="1" thickBot="1">
      <c r="A45" s="1127"/>
      <c r="B45" s="1128"/>
      <c r="C45" s="1143"/>
      <c r="D45" s="1144"/>
      <c r="E45" s="1324"/>
      <c r="F45" s="1334"/>
      <c r="G45" s="1339"/>
      <c r="H45" s="1325"/>
      <c r="I45" s="1339"/>
      <c r="J45" s="1325"/>
    </row>
    <row r="46" spans="1:10" ht="21" customHeight="1" thickBot="1" thickTop="1">
      <c r="A46" s="2461" t="s">
        <v>1455</v>
      </c>
      <c r="B46" s="2462"/>
      <c r="C46" s="1130">
        <f>SUM(C42:C45)</f>
        <v>0</v>
      </c>
      <c r="D46" s="1131">
        <f>SUM(D42:D45)</f>
        <v>0</v>
      </c>
      <c r="E46" s="1326">
        <f>ROUND(C46/1000,0)</f>
        <v>0</v>
      </c>
      <c r="F46" s="1335">
        <f>ROUND(D46/1000,0)</f>
        <v>0</v>
      </c>
      <c r="G46" s="1340"/>
      <c r="H46" s="1341"/>
      <c r="I46" s="1330">
        <f>E46+G46</f>
        <v>0</v>
      </c>
      <c r="J46" s="1327">
        <f>F46+H46</f>
        <v>0</v>
      </c>
    </row>
    <row r="47" spans="1:4" ht="14.25" thickBot="1" thickTop="1">
      <c r="A47" s="1132"/>
      <c r="B47" s="1132"/>
      <c r="C47" s="1132"/>
      <c r="D47" s="1132"/>
    </row>
    <row r="48" spans="1:10" ht="21" customHeight="1" thickBot="1" thickTop="1">
      <c r="A48" s="2461" t="s">
        <v>777</v>
      </c>
      <c r="B48" s="2462"/>
      <c r="C48" s="1130">
        <f aca="true" t="shared" si="0" ref="C48:H48">SUM(C11,C16,C21,C26,C31,C36,C41,C46)</f>
        <v>0</v>
      </c>
      <c r="D48" s="1131">
        <f t="shared" si="0"/>
        <v>0</v>
      </c>
      <c r="E48" s="1530">
        <f t="shared" si="0"/>
        <v>0</v>
      </c>
      <c r="F48" s="1530">
        <f t="shared" si="0"/>
        <v>0</v>
      </c>
      <c r="G48" s="1530">
        <f t="shared" si="0"/>
        <v>0</v>
      </c>
      <c r="H48" s="1538">
        <f t="shared" si="0"/>
        <v>0</v>
      </c>
      <c r="I48" s="1342">
        <f>ROUND(C48/1000,0)</f>
        <v>0</v>
      </c>
      <c r="J48" s="1343">
        <f>ROUND(D48/1000,0)</f>
        <v>0</v>
      </c>
    </row>
    <row r="49" spans="5:10" ht="16.5" thickBot="1" thickTop="1">
      <c r="E49" s="388"/>
      <c r="F49" s="388"/>
      <c r="G49" s="388"/>
      <c r="H49" s="388"/>
      <c r="I49" s="1345" t="str">
        <f>IF(I48-G48-E48=0,"OK",I48-G48-E48)</f>
        <v>OK</v>
      </c>
      <c r="J49" s="1345" t="str">
        <f>IF(J48-H48-F48=0,"OK",J48-H48-F48)</f>
        <v>OK</v>
      </c>
    </row>
  </sheetData>
  <mergeCells count="9">
    <mergeCell ref="A48:B48"/>
    <mergeCell ref="C5:D5"/>
    <mergeCell ref="A5:B6"/>
    <mergeCell ref="A36:B36"/>
    <mergeCell ref="A41:B41"/>
    <mergeCell ref="E5:F5"/>
    <mergeCell ref="G5:H5"/>
    <mergeCell ref="I5:J5"/>
    <mergeCell ref="A46:B46"/>
  </mergeCells>
  <printOptions horizontalCentered="1"/>
  <pageMargins left="0.7874015748031497" right="0.7874015748031497" top="0.5905511811023623" bottom="1.18" header="0.3937007874015748" footer="0.4"/>
  <pageSetup horizontalDpi="600" verticalDpi="600" orientation="portrait" paperSize="9" scale="95" r:id="rId1"/>
  <headerFooter alignWithMargins="0">
    <oddFooter>&amp;L&amp;U                                                &amp;U
        vállalkozás vezetője
             (képviselője)&amp;C&amp;P/&amp;N&amp;R&amp;A</oddFooter>
  </headerFooter>
</worksheet>
</file>

<file path=xl/worksheets/sheet59.xml><?xml version="1.0" encoding="utf-8"?>
<worksheet xmlns="http://schemas.openxmlformats.org/spreadsheetml/2006/main" xmlns:r="http://schemas.openxmlformats.org/officeDocument/2006/relationships">
  <sheetPr codeName="Munka52"/>
  <dimension ref="A1:K49"/>
  <sheetViews>
    <sheetView workbookViewId="0" topLeftCell="A1">
      <pane ySplit="6" topLeftCell="BM29" activePane="bottomLeft" state="frozen"/>
      <selection pane="topLeft" activeCell="A1" sqref="A1"/>
      <selection pane="bottomLeft" activeCell="K15" sqref="K15"/>
    </sheetView>
  </sheetViews>
  <sheetFormatPr defaultColWidth="9.00390625" defaultRowHeight="12.75"/>
  <cols>
    <col min="1" max="1" width="11.125" style="1042" customWidth="1"/>
    <col min="2" max="2" width="42.25390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778</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469" t="s">
        <v>1848</v>
      </c>
      <c r="B5" s="2530"/>
      <c r="C5" s="2498" t="s">
        <v>43</v>
      </c>
      <c r="D5" s="2464"/>
      <c r="E5" s="2490" t="s">
        <v>790</v>
      </c>
      <c r="F5" s="2491"/>
      <c r="G5" s="2492" t="s">
        <v>788</v>
      </c>
      <c r="H5" s="2493"/>
      <c r="I5" s="2494" t="s">
        <v>789</v>
      </c>
      <c r="J5" s="2493"/>
    </row>
    <row r="6" spans="1:10" s="739" customFormat="1" ht="21" customHeight="1" thickBot="1">
      <c r="A6" s="2470"/>
      <c r="B6" s="2531"/>
      <c r="C6" s="982" t="s">
        <v>603</v>
      </c>
      <c r="D6" s="773" t="s">
        <v>922</v>
      </c>
      <c r="E6" s="1515" t="s">
        <v>603</v>
      </c>
      <c r="F6" s="1516" t="s">
        <v>922</v>
      </c>
      <c r="G6" s="1517" t="s">
        <v>603</v>
      </c>
      <c r="H6" s="1518" t="s">
        <v>922</v>
      </c>
      <c r="I6" s="1515" t="s">
        <v>603</v>
      </c>
      <c r="J6" s="1518" t="s">
        <v>922</v>
      </c>
    </row>
    <row r="7" spans="1:10" s="744" customFormat="1" ht="21" customHeight="1" hidden="1" thickTop="1">
      <c r="A7" s="1121"/>
      <c r="B7" s="1122"/>
      <c r="C7" s="789"/>
      <c r="D7" s="1123"/>
      <c r="E7" s="988"/>
      <c r="F7" s="988"/>
      <c r="G7" s="988"/>
      <c r="H7" s="988"/>
      <c r="I7" s="778"/>
      <c r="J7" s="778"/>
    </row>
    <row r="8" spans="1:10" s="744" customFormat="1" ht="21" customHeight="1" thickTop="1">
      <c r="A8" s="1124"/>
      <c r="B8" s="1125"/>
      <c r="C8" s="781"/>
      <c r="D8" s="1126"/>
      <c r="E8" s="1520"/>
      <c r="F8" s="1521"/>
      <c r="G8" s="1520"/>
      <c r="H8" s="1521"/>
      <c r="I8" s="1522"/>
      <c r="J8" s="1521"/>
    </row>
    <row r="9" spans="1:10" s="744" customFormat="1" ht="21" customHeight="1">
      <c r="A9" s="1124"/>
      <c r="B9" s="1125"/>
      <c r="C9" s="781"/>
      <c r="D9" s="1126"/>
      <c r="E9" s="1523"/>
      <c r="F9" s="1524"/>
      <c r="G9" s="1523"/>
      <c r="H9" s="1524"/>
      <c r="I9" s="1525"/>
      <c r="J9" s="1524"/>
    </row>
    <row r="10" spans="1:10" s="744" customFormat="1" ht="21" customHeight="1" thickBot="1">
      <c r="A10" s="1127"/>
      <c r="B10" s="1128"/>
      <c r="C10" s="1143"/>
      <c r="D10" s="1144"/>
      <c r="E10" s="1526"/>
      <c r="F10" s="1527"/>
      <c r="G10" s="1526"/>
      <c r="H10" s="1527"/>
      <c r="I10" s="1528"/>
      <c r="J10" s="1527"/>
    </row>
    <row r="11" spans="1:10" s="744" customFormat="1" ht="21" customHeight="1" thickBot="1" thickTop="1">
      <c r="A11" s="1129" t="s">
        <v>1456</v>
      </c>
      <c r="B11" s="1129"/>
      <c r="C11" s="1130">
        <f>SUM(C7:C10)</f>
        <v>0</v>
      </c>
      <c r="D11" s="1131">
        <f>SUM(D7:D10)</f>
        <v>0</v>
      </c>
      <c r="E11" s="1326">
        <f>ROUND(C11/1000,0)</f>
        <v>0</v>
      </c>
      <c r="F11" s="1335">
        <f>ROUND(D11/1000,0)</f>
        <v>0</v>
      </c>
      <c r="G11" s="1340"/>
      <c r="H11" s="1341"/>
      <c r="I11" s="1330">
        <f>E11+G11</f>
        <v>0</v>
      </c>
      <c r="J11" s="1327">
        <f>F11+H11</f>
        <v>0</v>
      </c>
    </row>
    <row r="12" spans="1:10" s="744" customFormat="1" ht="21" customHeight="1" hidden="1" thickTop="1">
      <c r="A12" s="1121"/>
      <c r="B12" s="1122"/>
      <c r="C12" s="789"/>
      <c r="D12" s="1123"/>
      <c r="E12" s="1394"/>
      <c r="F12" s="1393"/>
      <c r="G12" s="1392"/>
      <c r="H12" s="1393"/>
      <c r="I12" s="1392"/>
      <c r="J12" s="1393"/>
    </row>
    <row r="13" spans="1:10" s="744" customFormat="1" ht="21" customHeight="1" thickTop="1">
      <c r="A13" s="1124"/>
      <c r="B13" s="1125"/>
      <c r="C13" s="781"/>
      <c r="D13" s="1126"/>
      <c r="E13" s="1333"/>
      <c r="F13" s="1323"/>
      <c r="G13" s="1338"/>
      <c r="H13" s="1323"/>
      <c r="I13" s="1338"/>
      <c r="J13" s="1323"/>
    </row>
    <row r="14" spans="1:10" s="744" customFormat="1" ht="21" customHeight="1">
      <c r="A14" s="1124"/>
      <c r="B14" s="1125"/>
      <c r="C14" s="781"/>
      <c r="D14" s="1126"/>
      <c r="E14" s="1333"/>
      <c r="F14" s="1323"/>
      <c r="G14" s="1338"/>
      <c r="H14" s="1323"/>
      <c r="I14" s="1338"/>
      <c r="J14" s="1323"/>
    </row>
    <row r="15" spans="1:10" s="744" customFormat="1" ht="21" customHeight="1" thickBot="1">
      <c r="A15" s="1127"/>
      <c r="B15" s="1128"/>
      <c r="C15" s="1143"/>
      <c r="D15" s="1144"/>
      <c r="E15" s="1334"/>
      <c r="F15" s="1325"/>
      <c r="G15" s="1339"/>
      <c r="H15" s="1325"/>
      <c r="I15" s="1339"/>
      <c r="J15" s="1325"/>
    </row>
    <row r="16" spans="1:10" s="744" customFormat="1" ht="21" customHeight="1" thickBot="1" thickTop="1">
      <c r="A16" s="1129" t="s">
        <v>1457</v>
      </c>
      <c r="B16" s="1129"/>
      <c r="C16" s="1130">
        <f>SUM(C12:C15)</f>
        <v>0</v>
      </c>
      <c r="D16" s="1131">
        <f>SUM(D12:D15)</f>
        <v>0</v>
      </c>
      <c r="E16" s="1326">
        <f>ROUND(C16/1000,0)</f>
        <v>0</v>
      </c>
      <c r="F16" s="1335">
        <f>ROUND(D16/1000,0)</f>
        <v>0</v>
      </c>
      <c r="G16" s="1340"/>
      <c r="H16" s="1341"/>
      <c r="I16" s="1330">
        <f>E16+G16</f>
        <v>0</v>
      </c>
      <c r="J16" s="1327">
        <f>F16+H16</f>
        <v>0</v>
      </c>
    </row>
    <row r="17" spans="1:10" s="744" customFormat="1" ht="21" customHeight="1" hidden="1" thickTop="1">
      <c r="A17" s="1121"/>
      <c r="B17" s="1122"/>
      <c r="C17" s="789"/>
      <c r="D17" s="1123"/>
      <c r="E17" s="1332"/>
      <c r="F17" s="1332"/>
      <c r="G17" s="1337"/>
      <c r="H17" s="1321"/>
      <c r="I17" s="1337"/>
      <c r="J17" s="1321"/>
    </row>
    <row r="18" spans="1:10" s="744" customFormat="1" ht="21" customHeight="1" thickTop="1">
      <c r="A18" s="1124"/>
      <c r="B18" s="1125"/>
      <c r="C18" s="781"/>
      <c r="D18" s="1126"/>
      <c r="E18" s="1333"/>
      <c r="F18" s="1333"/>
      <c r="G18" s="1338"/>
      <c r="H18" s="1323"/>
      <c r="I18" s="1338"/>
      <c r="J18" s="1323"/>
    </row>
    <row r="19" spans="1:10" s="744" customFormat="1" ht="21" customHeight="1">
      <c r="A19" s="1124"/>
      <c r="B19" s="1125"/>
      <c r="C19" s="781"/>
      <c r="D19" s="1126"/>
      <c r="E19" s="1333"/>
      <c r="F19" s="1333"/>
      <c r="G19" s="1338"/>
      <c r="H19" s="1323"/>
      <c r="I19" s="1338"/>
      <c r="J19" s="1323"/>
    </row>
    <row r="20" spans="1:10" s="744" customFormat="1" ht="21" customHeight="1" thickBot="1">
      <c r="A20" s="1127"/>
      <c r="B20" s="1128"/>
      <c r="C20" s="1143"/>
      <c r="D20" s="1144"/>
      <c r="E20" s="1334"/>
      <c r="F20" s="1334"/>
      <c r="G20" s="1339"/>
      <c r="H20" s="1325"/>
      <c r="I20" s="1339"/>
      <c r="J20" s="1325"/>
    </row>
    <row r="21" spans="1:10" s="744" customFormat="1" ht="21" customHeight="1" thickBot="1" thickTop="1">
      <c r="A21" s="1129" t="s">
        <v>485</v>
      </c>
      <c r="B21" s="1129"/>
      <c r="C21" s="1130">
        <f>SUM(C17:C20)</f>
        <v>0</v>
      </c>
      <c r="D21" s="1131">
        <f>SUM(D17:D20)</f>
        <v>0</v>
      </c>
      <c r="E21" s="1326">
        <f>ROUND(C21/1000,0)</f>
        <v>0</v>
      </c>
      <c r="F21" s="1335">
        <f>ROUND(D21/1000,0)</f>
        <v>0</v>
      </c>
      <c r="G21" s="1340"/>
      <c r="H21" s="1341"/>
      <c r="I21" s="1330">
        <f>E21+G21</f>
        <v>0</v>
      </c>
      <c r="J21" s="1327">
        <f>F21+H21</f>
        <v>0</v>
      </c>
    </row>
    <row r="22" spans="1:10" s="744" customFormat="1" ht="21" customHeight="1" hidden="1" thickTop="1">
      <c r="A22" s="1121"/>
      <c r="B22" s="1122"/>
      <c r="C22" s="789"/>
      <c r="D22" s="1123"/>
      <c r="E22" s="1320"/>
      <c r="F22" s="1332"/>
      <c r="G22" s="1337"/>
      <c r="H22" s="1321"/>
      <c r="I22" s="1337"/>
      <c r="J22" s="1321"/>
    </row>
    <row r="23" spans="1:10" s="744" customFormat="1" ht="21" customHeight="1" thickTop="1">
      <c r="A23" s="1124"/>
      <c r="B23" s="1125"/>
      <c r="C23" s="781"/>
      <c r="D23" s="1126"/>
      <c r="E23" s="1322"/>
      <c r="F23" s="1333"/>
      <c r="G23" s="1338"/>
      <c r="H23" s="1323"/>
      <c r="I23" s="1338"/>
      <c r="J23" s="1323"/>
    </row>
    <row r="24" spans="1:10" s="744" customFormat="1" ht="21" customHeight="1">
      <c r="A24" s="1124"/>
      <c r="B24" s="1125"/>
      <c r="C24" s="781"/>
      <c r="D24" s="1126"/>
      <c r="E24" s="1322"/>
      <c r="F24" s="1333"/>
      <c r="G24" s="1338"/>
      <c r="H24" s="1323"/>
      <c r="I24" s="1338"/>
      <c r="J24" s="1323"/>
    </row>
    <row r="25" spans="1:11" s="743" customFormat="1" ht="21" customHeight="1" thickBot="1">
      <c r="A25" s="1127"/>
      <c r="B25" s="1128"/>
      <c r="C25" s="1143"/>
      <c r="D25" s="1144"/>
      <c r="E25" s="1324"/>
      <c r="F25" s="1334"/>
      <c r="G25" s="1339"/>
      <c r="H25" s="1325"/>
      <c r="I25" s="1339"/>
      <c r="J25" s="1325"/>
      <c r="K25" s="1040"/>
    </row>
    <row r="26" spans="1:10" s="743" customFormat="1" ht="21" customHeight="1" thickBot="1" thickTop="1">
      <c r="A26" s="1129" t="s">
        <v>157</v>
      </c>
      <c r="B26" s="1129"/>
      <c r="C26" s="1130">
        <f>SUM(C22:C25)</f>
        <v>0</v>
      </c>
      <c r="D26" s="1131">
        <f>SUM(D22:D25)</f>
        <v>0</v>
      </c>
      <c r="E26" s="1326">
        <f>ROUND(C26/1000,0)</f>
        <v>0</v>
      </c>
      <c r="F26" s="1335">
        <f>ROUND(D26/1000,0)</f>
        <v>0</v>
      </c>
      <c r="G26" s="1340"/>
      <c r="H26" s="1341"/>
      <c r="I26" s="1330">
        <f>E26+G26</f>
        <v>0</v>
      </c>
      <c r="J26" s="1327">
        <f>F26+H26</f>
        <v>0</v>
      </c>
    </row>
    <row r="27" spans="1:10" s="743" customFormat="1" ht="21" customHeight="1" hidden="1" thickTop="1">
      <c r="A27" s="1121"/>
      <c r="B27" s="1122"/>
      <c r="C27" s="789"/>
      <c r="D27" s="1123"/>
      <c r="E27" s="1320"/>
      <c r="F27" s="1332"/>
      <c r="G27" s="1337"/>
      <c r="H27" s="1321"/>
      <c r="I27" s="1337"/>
      <c r="J27" s="1321"/>
    </row>
    <row r="28" spans="1:10" s="1041" customFormat="1" ht="21" customHeight="1" thickTop="1">
      <c r="A28" s="1124"/>
      <c r="B28" s="1125"/>
      <c r="C28" s="781"/>
      <c r="D28" s="1126"/>
      <c r="E28" s="1322"/>
      <c r="F28" s="1333"/>
      <c r="G28" s="1338"/>
      <c r="H28" s="1323"/>
      <c r="I28" s="1338"/>
      <c r="J28" s="1323"/>
    </row>
    <row r="29" spans="1:10" s="1041" customFormat="1" ht="21" customHeight="1">
      <c r="A29" s="1124"/>
      <c r="B29" s="1125"/>
      <c r="C29" s="781"/>
      <c r="D29" s="1126"/>
      <c r="E29" s="1322"/>
      <c r="F29" s="1333"/>
      <c r="G29" s="1338"/>
      <c r="H29" s="1323"/>
      <c r="I29" s="1338"/>
      <c r="J29" s="1323"/>
    </row>
    <row r="30" spans="1:10" s="1041" customFormat="1" ht="21" customHeight="1" thickBot="1">
      <c r="A30" s="1127"/>
      <c r="B30" s="1128"/>
      <c r="C30" s="1143"/>
      <c r="D30" s="1144"/>
      <c r="E30" s="1324"/>
      <c r="F30" s="1334"/>
      <c r="G30" s="1339"/>
      <c r="H30" s="1325"/>
      <c r="I30" s="1339"/>
      <c r="J30" s="1325"/>
    </row>
    <row r="31" spans="1:10" ht="21" customHeight="1" thickBot="1" thickTop="1">
      <c r="A31" s="1129" t="s">
        <v>486</v>
      </c>
      <c r="B31" s="1141"/>
      <c r="C31" s="1130">
        <f>SUM(C27:C30)</f>
        <v>0</v>
      </c>
      <c r="D31" s="1131">
        <f>SUM(D27:D30)</f>
        <v>0</v>
      </c>
      <c r="E31" s="1326">
        <f>ROUND(C31/1000,0)</f>
        <v>0</v>
      </c>
      <c r="F31" s="1335">
        <f>ROUND(D31/1000,0)</f>
        <v>0</v>
      </c>
      <c r="G31" s="1340"/>
      <c r="H31" s="1341"/>
      <c r="I31" s="1330">
        <f>E31+G31</f>
        <v>0</v>
      </c>
      <c r="J31" s="1327">
        <f>F31+H31</f>
        <v>0</v>
      </c>
    </row>
    <row r="32" spans="1:4" ht="21" customHeight="1" hidden="1" thickTop="1">
      <c r="A32" s="1121"/>
      <c r="B32" s="1122"/>
      <c r="C32" s="789"/>
      <c r="D32" s="1123"/>
    </row>
    <row r="33" spans="1:10" ht="21" customHeight="1" thickTop="1">
      <c r="A33" s="1124"/>
      <c r="B33" s="1125"/>
      <c r="C33" s="781"/>
      <c r="D33" s="1126"/>
      <c r="E33" s="1322"/>
      <c r="F33" s="1333"/>
      <c r="G33" s="1338"/>
      <c r="H33" s="1323"/>
      <c r="I33" s="1338"/>
      <c r="J33" s="1323"/>
    </row>
    <row r="34" spans="1:10" ht="21" customHeight="1">
      <c r="A34" s="1124"/>
      <c r="B34" s="1125"/>
      <c r="C34" s="781"/>
      <c r="D34" s="1126"/>
      <c r="E34" s="1322"/>
      <c r="F34" s="1333"/>
      <c r="G34" s="1338"/>
      <c r="H34" s="1323"/>
      <c r="I34" s="1338"/>
      <c r="J34" s="1323"/>
    </row>
    <row r="35" spans="1:10" ht="21" customHeight="1" thickBot="1">
      <c r="A35" s="1127"/>
      <c r="B35" s="1128"/>
      <c r="C35" s="1143"/>
      <c r="D35" s="1144"/>
      <c r="E35" s="1324"/>
      <c r="F35" s="1334"/>
      <c r="G35" s="1339"/>
      <c r="H35" s="1325"/>
      <c r="I35" s="1339"/>
      <c r="J35" s="1325"/>
    </row>
    <row r="36" spans="1:10" ht="21.75" customHeight="1" thickBot="1" thickTop="1">
      <c r="A36" s="2532" t="str">
        <f>IF(Általános!$B$19=Általános!$F$8,GLOBAL!B116,IF(Általános!$B$19=Általános!$F$9,GLOBAL!C116,IF(Általános!$B$19=Általános!$F$10,GLOBAL!D116)))</f>
        <v>Rövid lejáratú köt-ek kapcsolt vállalkozással szemben</v>
      </c>
      <c r="B36" s="2534"/>
      <c r="C36" s="1130">
        <f>SUM(C32:C35)</f>
        <v>0</v>
      </c>
      <c r="D36" s="1131">
        <f>SUM(D32:D35)</f>
        <v>0</v>
      </c>
      <c r="E36" s="1326">
        <f>ROUND(C36/1000,0)</f>
        <v>0</v>
      </c>
      <c r="F36" s="1335">
        <f>ROUND(D36/1000,0)</f>
        <v>0</v>
      </c>
      <c r="G36" s="1340"/>
      <c r="H36" s="1341"/>
      <c r="I36" s="1330">
        <f>E36+G36</f>
        <v>0</v>
      </c>
      <c r="J36" s="1327">
        <f>F36+H36</f>
        <v>0</v>
      </c>
    </row>
    <row r="37" spans="1:4" ht="21.75" customHeight="1" hidden="1" thickTop="1">
      <c r="A37" s="1133"/>
      <c r="B37" s="1134"/>
      <c r="C37" s="1137"/>
      <c r="D37" s="1138"/>
    </row>
    <row r="38" spans="1:10" ht="21.75" customHeight="1" thickTop="1">
      <c r="A38" s="1135"/>
      <c r="B38" s="1136"/>
      <c r="C38" s="1139"/>
      <c r="D38" s="1140"/>
      <c r="E38" s="1322"/>
      <c r="F38" s="1333"/>
      <c r="G38" s="1338"/>
      <c r="H38" s="1323"/>
      <c r="I38" s="1338"/>
      <c r="J38" s="1323"/>
    </row>
    <row r="39" spans="1:10" ht="21.75" customHeight="1">
      <c r="A39" s="1135"/>
      <c r="B39" s="1136"/>
      <c r="C39" s="1139"/>
      <c r="D39" s="1140"/>
      <c r="E39" s="1322"/>
      <c r="F39" s="1333"/>
      <c r="G39" s="1338"/>
      <c r="H39" s="1323"/>
      <c r="I39" s="1338"/>
      <c r="J39" s="1323"/>
    </row>
    <row r="40" spans="1:10" ht="21.75" customHeight="1" thickBot="1">
      <c r="A40" s="2012"/>
      <c r="B40" s="2013"/>
      <c r="C40" s="2014"/>
      <c r="D40" s="2015"/>
      <c r="E40" s="1324"/>
      <c r="F40" s="1334"/>
      <c r="G40" s="1339"/>
      <c r="H40" s="1325"/>
      <c r="I40" s="1339"/>
      <c r="J40" s="1325"/>
    </row>
    <row r="41" spans="1:10" ht="25.5" customHeight="1" thickBot="1" thickTop="1">
      <c r="A41" s="2532" t="s">
        <v>926</v>
      </c>
      <c r="B41" s="2533"/>
      <c r="C41" s="1130">
        <f>SUM(C37:C40)</f>
        <v>0</v>
      </c>
      <c r="D41" s="1131">
        <f>SUM(D37:D40)</f>
        <v>0</v>
      </c>
      <c r="E41" s="1326">
        <f>ROUND(C41/1000,0)</f>
        <v>0</v>
      </c>
      <c r="F41" s="1335">
        <f>ROUND(D41/1000,0)</f>
        <v>0</v>
      </c>
      <c r="G41" s="1340"/>
      <c r="H41" s="1341"/>
      <c r="I41" s="1330">
        <f>E41+G41</f>
        <v>0</v>
      </c>
      <c r="J41" s="1327">
        <f>F41+H41</f>
        <v>0</v>
      </c>
    </row>
    <row r="42" spans="1:4" ht="21" customHeight="1" hidden="1" thickTop="1">
      <c r="A42" s="1121"/>
      <c r="B42" s="1122"/>
      <c r="C42" s="776"/>
      <c r="D42" s="1142"/>
    </row>
    <row r="43" spans="1:10" ht="21" customHeight="1" thickTop="1">
      <c r="A43" s="1124"/>
      <c r="B43" s="1125"/>
      <c r="C43" s="781"/>
      <c r="D43" s="1126"/>
      <c r="E43" s="1322"/>
      <c r="F43" s="1333"/>
      <c r="G43" s="1338"/>
      <c r="H43" s="1323"/>
      <c r="I43" s="1338"/>
      <c r="J43" s="1323"/>
    </row>
    <row r="44" spans="1:10" ht="21" customHeight="1">
      <c r="A44" s="1124"/>
      <c r="B44" s="1125"/>
      <c r="C44" s="781"/>
      <c r="D44" s="1126"/>
      <c r="E44" s="1322"/>
      <c r="F44" s="1333"/>
      <c r="G44" s="1338"/>
      <c r="H44" s="1323"/>
      <c r="I44" s="1338"/>
      <c r="J44" s="1323"/>
    </row>
    <row r="45" spans="1:10" ht="21" customHeight="1" thickBot="1">
      <c r="A45" s="1127"/>
      <c r="B45" s="1128"/>
      <c r="C45" s="1143"/>
      <c r="D45" s="1144"/>
      <c r="E45" s="1324"/>
      <c r="F45" s="1334"/>
      <c r="G45" s="1339"/>
      <c r="H45" s="1325"/>
      <c r="I45" s="1339"/>
      <c r="J45" s="1325"/>
    </row>
    <row r="46" spans="1:10" ht="21" customHeight="1" thickBot="1" thickTop="1">
      <c r="A46" s="2461" t="s">
        <v>1460</v>
      </c>
      <c r="B46" s="2462"/>
      <c r="C46" s="1130">
        <f>SUM(C42:C45)</f>
        <v>0</v>
      </c>
      <c r="D46" s="1131">
        <f>SUM(D42:D45)</f>
        <v>0</v>
      </c>
      <c r="E46" s="1326">
        <f>ROUND(C46/1000,0)</f>
        <v>0</v>
      </c>
      <c r="F46" s="1335">
        <f>ROUND(D46/1000,0)</f>
        <v>0</v>
      </c>
      <c r="G46" s="1340"/>
      <c r="H46" s="1341"/>
      <c r="I46" s="1330">
        <f>E46+G46</f>
        <v>0</v>
      </c>
      <c r="J46" s="1327">
        <f>F46+H46</f>
        <v>0</v>
      </c>
    </row>
    <row r="47" spans="1:4" ht="14.25" thickBot="1" thickTop="1">
      <c r="A47" s="1132"/>
      <c r="B47" s="1132"/>
      <c r="C47" s="1132"/>
      <c r="D47" s="1132"/>
    </row>
    <row r="48" spans="1:10" ht="21" customHeight="1" thickBot="1" thickTop="1">
      <c r="A48" s="2461" t="s">
        <v>779</v>
      </c>
      <c r="B48" s="2462"/>
      <c r="C48" s="1130">
        <f aca="true" t="shared" si="0" ref="C48:H48">SUM(C11,C16,C21,C26,C31,C36,C41,C46)</f>
        <v>0</v>
      </c>
      <c r="D48" s="1131">
        <f t="shared" si="0"/>
        <v>0</v>
      </c>
      <c r="E48" s="1530">
        <f t="shared" si="0"/>
        <v>0</v>
      </c>
      <c r="F48" s="1530">
        <f t="shared" si="0"/>
        <v>0</v>
      </c>
      <c r="G48" s="1530">
        <f t="shared" si="0"/>
        <v>0</v>
      </c>
      <c r="H48" s="1538">
        <f t="shared" si="0"/>
        <v>0</v>
      </c>
      <c r="I48" s="1342">
        <f>ROUND(C48/1000,0)</f>
        <v>0</v>
      </c>
      <c r="J48" s="1343">
        <f>ROUND(D48/1000,0)</f>
        <v>0</v>
      </c>
    </row>
    <row r="49" spans="5:10" ht="16.5" thickBot="1" thickTop="1">
      <c r="E49" s="388"/>
      <c r="F49" s="388"/>
      <c r="G49" s="388"/>
      <c r="H49" s="388"/>
      <c r="I49" s="1345" t="str">
        <f>IF(I48-G48-E48=0,"OK",I48-G48-E48)</f>
        <v>OK</v>
      </c>
      <c r="J49" s="1345" t="str">
        <f>IF(J48-H48-F48=0,"OK",J48-H48-F48)</f>
        <v>OK</v>
      </c>
    </row>
  </sheetData>
  <mergeCells count="9">
    <mergeCell ref="A48:B48"/>
    <mergeCell ref="C5:D5"/>
    <mergeCell ref="A5:B6"/>
    <mergeCell ref="A41:B41"/>
    <mergeCell ref="A36:B36"/>
    <mergeCell ref="E5:F5"/>
    <mergeCell ref="G5:H5"/>
    <mergeCell ref="I5:J5"/>
    <mergeCell ref="A46:B46"/>
  </mergeCells>
  <printOptions horizontalCentered="1"/>
  <pageMargins left="0.7874015748031497" right="0.7874015748031497" top="0.5905511811023623" bottom="0.61" header="0.3937007874015748" footer="0.4"/>
  <pageSetup horizontalDpi="600" verticalDpi="600" orientation="portrait" paperSize="9" r:id="rId1"/>
  <headerFooter alignWithMargins="0">
    <oddFooter>&amp;L&amp;U                                                &amp;U
        vállalkozás vezetője
             (képviselője)&amp;C&amp;P/&amp;N&amp;R&amp;A</oddFooter>
  </headerFooter>
  <rowBreaks count="1" manualBreakCount="1">
    <brk id="41" max="3" man="1"/>
  </rowBreaks>
</worksheet>
</file>

<file path=xl/worksheets/sheet6.xml><?xml version="1.0" encoding="utf-8"?>
<worksheet xmlns="http://schemas.openxmlformats.org/spreadsheetml/2006/main" xmlns:r="http://schemas.openxmlformats.org/officeDocument/2006/relationships">
  <sheetPr codeName="Munka7"/>
  <dimension ref="A1:F90"/>
  <sheetViews>
    <sheetView showZeros="0" workbookViewId="0" topLeftCell="A16">
      <selection activeCell="C13" sqref="C13"/>
    </sheetView>
  </sheetViews>
  <sheetFormatPr defaultColWidth="9.00390625" defaultRowHeight="12.75"/>
  <cols>
    <col min="1" max="1" width="5.75390625" style="4" customWidth="1"/>
    <col min="2" max="2" width="56.875" style="4" customWidth="1"/>
    <col min="3" max="3" width="9.625" style="4" customWidth="1"/>
    <col min="4" max="4" width="11.25390625" style="4" customWidth="1"/>
    <col min="5" max="5" width="9.75390625" style="4" customWidth="1"/>
    <col min="6" max="6" width="4.375" style="4" customWidth="1"/>
    <col min="7" max="16384" width="9.125" style="4"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51</v>
      </c>
      <c r="F2" s="98"/>
    </row>
    <row r="3" spans="1:6" s="97" customFormat="1" ht="15" customHeight="1">
      <c r="A3" s="95" t="str">
        <f>Mérleg"A"!A3</f>
        <v>A vállalkozás megnevezése</v>
      </c>
      <c r="B3" s="96"/>
      <c r="F3" s="98"/>
    </row>
    <row r="4" spans="2:6" s="97" customFormat="1" ht="16.5" customHeight="1">
      <c r="B4" s="105" t="str">
        <f>Mérleg"A"!B4</f>
        <v>Komáromi Távhő Kft</v>
      </c>
      <c r="E4" s="101"/>
      <c r="F4" s="98"/>
    </row>
    <row r="5" spans="1:6" s="1" customFormat="1" ht="18" customHeight="1">
      <c r="A5" s="102" t="str">
        <f>IF(Általános!$B$19=Általános!$F$8,GLOBAL!B176,IF(Általános!$B$19=Általános!$F$9,GLOBAL!C176,IF(Általános!$B$19=Általános!$F$10,GLOBAL!D176)))</f>
        <v>Forgalmi költség eljárással készített eredménykimutatás</v>
      </c>
      <c r="B5" s="103"/>
      <c r="C5" s="42"/>
      <c r="D5" s="42"/>
      <c r="E5" s="104"/>
      <c r="F5" s="60"/>
    </row>
    <row r="6" spans="1:6" s="1" customFormat="1" ht="18" customHeight="1">
      <c r="A6" s="102" t="str">
        <f>IF(Általános!$B$19=Általános!$F$8,GLOBAL!B125,IF(Általános!$B$19=Általános!$F$9,GLOBAL!C125,IF(Általános!$B$19=Általános!$F$10,GLOBAL!D125)))</f>
        <v>"A" változat</v>
      </c>
      <c r="B6" s="103"/>
      <c r="C6" s="42"/>
      <c r="D6" s="42"/>
      <c r="E6" s="104"/>
      <c r="F6" s="60"/>
    </row>
    <row r="7" spans="1:6" s="1" customFormat="1" ht="16.5" customHeight="1">
      <c r="A7" s="42" t="str">
        <f>Mérleg"A"!A7</f>
        <v>Az üzleti év mérlegfordulónapja: 2016.december 31. Hőszolg.</v>
      </c>
      <c r="B7" s="103"/>
      <c r="C7" s="42"/>
      <c r="D7" s="42"/>
      <c r="E7" s="42"/>
      <c r="F7" s="60"/>
    </row>
    <row r="8" spans="1:6" ht="15">
      <c r="A8" s="123" t="str">
        <f>Mérleg"A"!A8</f>
        <v>A közzétett adatokat könyvvizsgáló ellenőrizte</v>
      </c>
      <c r="B8" s="353"/>
      <c r="C8" s="353"/>
      <c r="D8" s="353"/>
      <c r="E8" s="353"/>
      <c r="F8" s="28"/>
    </row>
    <row r="9" spans="2:6" ht="15">
      <c r="B9" s="123"/>
      <c r="C9" s="123"/>
      <c r="D9" s="123"/>
      <c r="E9" s="123"/>
      <c r="F9" s="123"/>
    </row>
    <row r="12" spans="1:6" ht="13.5" thickBot="1">
      <c r="A12" s="1"/>
      <c r="C12" s="1"/>
      <c r="D12" s="1"/>
      <c r="E12" s="5" t="str">
        <f>Mérleg"A"!E9</f>
        <v>Adatok E Ft-ban</v>
      </c>
      <c r="F12" s="14"/>
    </row>
    <row r="13" spans="1:6" s="48" customFormat="1" ht="40.5" customHeight="1">
      <c r="A13" s="130" t="str">
        <f>Mérleg"A"!A10</f>
        <v>Sor-szám</v>
      </c>
      <c r="B13" s="340" t="str">
        <f>Mérleg"A"!B10</f>
        <v>A tétel megnevezése</v>
      </c>
      <c r="C13" s="224" t="str">
        <f>Mérleg"A"!C10</f>
        <v>2011.</v>
      </c>
      <c r="D13" s="160" t="str">
        <f>Mérleg"A"!D10</f>
        <v>Előző év(ek) módosításai</v>
      </c>
      <c r="E13" s="225" t="str">
        <f>Mérleg"A"!E10</f>
        <v>Tárgyév</v>
      </c>
      <c r="F13" s="112"/>
    </row>
    <row r="14" spans="1:6" s="48" customFormat="1" ht="10.5" customHeight="1" thickBot="1">
      <c r="A14" s="13" t="s">
        <v>1530</v>
      </c>
      <c r="B14" s="17" t="s">
        <v>1531</v>
      </c>
      <c r="C14" s="13" t="s">
        <v>1532</v>
      </c>
      <c r="D14" s="13" t="s">
        <v>565</v>
      </c>
      <c r="E14" s="13" t="s">
        <v>566</v>
      </c>
      <c r="F14" s="112"/>
    </row>
    <row r="15" spans="1:6" s="48" customFormat="1" ht="21" customHeight="1">
      <c r="A15" s="83" t="s">
        <v>567</v>
      </c>
      <c r="B15" s="38" t="str">
        <f>EredmÖsszktsg"A"!B12</f>
        <v>Belföldi értékesítés nettó árbevétele</v>
      </c>
      <c r="C15" s="188"/>
      <c r="D15" s="188"/>
      <c r="E15" s="188"/>
      <c r="F15" s="113" t="s">
        <v>1079</v>
      </c>
    </row>
    <row r="16" spans="1:6" s="48" customFormat="1" ht="21" customHeight="1">
      <c r="A16" s="87" t="s">
        <v>568</v>
      </c>
      <c r="B16" s="48" t="str">
        <f>EredmÖsszktsg"A"!B13</f>
        <v>Export értékesítés nettó árbevétele</v>
      </c>
      <c r="C16" s="195"/>
      <c r="D16" s="195"/>
      <c r="E16" s="195"/>
      <c r="F16" s="113" t="s">
        <v>1081</v>
      </c>
    </row>
    <row r="17" spans="1:6" s="48" customFormat="1" ht="21" customHeight="1">
      <c r="A17" s="110" t="s">
        <v>1082</v>
      </c>
      <c r="B17" s="80" t="str">
        <f>EredmÖsszktsg"A"!B14</f>
        <v>Értékesítés nettó árbevétele (01+02.)</v>
      </c>
      <c r="C17" s="193">
        <f>SUM(C15:C16)</f>
        <v>0</v>
      </c>
      <c r="D17" s="193">
        <f>SUM(D15:D16)</f>
        <v>0</v>
      </c>
      <c r="E17" s="193">
        <f>SUM(E15:E16)</f>
        <v>0</v>
      </c>
      <c r="F17" s="113" t="s">
        <v>1083</v>
      </c>
    </row>
    <row r="18" spans="1:6" s="48" customFormat="1" ht="21" customHeight="1">
      <c r="A18" s="83" t="s">
        <v>569</v>
      </c>
      <c r="B18" s="84" t="str">
        <f>IF(Általános!$B$19=Általános!$F$8,GLOBAL!B177,IF(Általános!$B$19=Általános!$F$9,GLOBAL!C177,IF(Általános!$B$19=Általános!$F$10,GLOBAL!D177)))</f>
        <v>Értékesítés elszámolt közvelten költsége</v>
      </c>
      <c r="C18" s="188"/>
      <c r="D18" s="188"/>
      <c r="E18" s="188"/>
      <c r="F18" s="113" t="s">
        <v>1085</v>
      </c>
    </row>
    <row r="19" spans="1:6" s="48" customFormat="1" ht="21" customHeight="1">
      <c r="A19" s="75" t="s">
        <v>570</v>
      </c>
      <c r="B19" s="76" t="str">
        <f>EredmÖsszktsg"A"!B23</f>
        <v>Eladott áruk beszerzési értéke</v>
      </c>
      <c r="C19" s="191"/>
      <c r="D19" s="191"/>
      <c r="E19" s="191"/>
      <c r="F19" s="113" t="s">
        <v>1087</v>
      </c>
    </row>
    <row r="20" spans="1:6" s="48" customFormat="1" ht="21" customHeight="1">
      <c r="A20" s="81" t="s">
        <v>571</v>
      </c>
      <c r="B20" s="82" t="str">
        <f>EredmÖsszktsg"A"!B24</f>
        <v>Eladott (közvetített) szolgáltatások értéke</v>
      </c>
      <c r="C20" s="189"/>
      <c r="D20" s="189"/>
      <c r="E20" s="189"/>
      <c r="F20" s="113" t="s">
        <v>1089</v>
      </c>
    </row>
    <row r="21" spans="1:6" s="48" customFormat="1" ht="21" customHeight="1">
      <c r="A21" s="110" t="s">
        <v>1088</v>
      </c>
      <c r="B21" s="80" t="str">
        <f>IF(Általános!$B$19=Általános!$F$8,GLOBAL!B178,IF(Általános!$B$19=Általános!$F$9,GLOBAL!C178,IF(Általános!$B$19=Általános!$F$10,GLOBAL!D178)))&amp;" (03+04+05.)"</f>
        <v>Értékesítés közvetlen költségei (03+04+05.)</v>
      </c>
      <c r="C21" s="193">
        <f>SUM(C18:C20)</f>
        <v>0</v>
      </c>
      <c r="D21" s="193">
        <f>SUM(D18:D20)</f>
        <v>0</v>
      </c>
      <c r="E21" s="193">
        <f>SUM(E18:E20)</f>
        <v>0</v>
      </c>
      <c r="F21" s="113" t="s">
        <v>1092</v>
      </c>
    </row>
    <row r="22" spans="1:6" s="48" customFormat="1" ht="21" customHeight="1">
      <c r="A22" s="110" t="s">
        <v>1090</v>
      </c>
      <c r="B22" s="80" t="str">
        <f>IF(Általános!$B$19=Általános!$F$8,GLOBAL!B179,IF(Általános!$B$19=Általános!$F$9,GLOBAL!C179,IF(Általános!$B$19=Általános!$F$10,GLOBAL!D179)))&amp;" (I-II.)"</f>
        <v>Értékesítés bruttó eredménye (I-II.)</v>
      </c>
      <c r="C22" s="193">
        <f>C17-C21</f>
        <v>0</v>
      </c>
      <c r="D22" s="193">
        <f>D17-D21</f>
        <v>0</v>
      </c>
      <c r="E22" s="193">
        <f>E17-E21</f>
        <v>0</v>
      </c>
      <c r="F22" s="113" t="s">
        <v>1094</v>
      </c>
    </row>
    <row r="23" spans="1:6" s="48" customFormat="1" ht="21" customHeight="1">
      <c r="A23" s="83" t="s">
        <v>572</v>
      </c>
      <c r="B23" s="38" t="str">
        <f>IF(Általános!$B$19=Általános!$F$8,GLOBAL!B180,IF(Általános!$B$19=Általános!$F$9,GLOBAL!C180,IF(Általános!$B$19=Általános!$F$10,GLOBAL!D180)))</f>
        <v>Értékesítési, forgalmazási költségek</v>
      </c>
      <c r="C23" s="188"/>
      <c r="D23" s="188"/>
      <c r="E23" s="188"/>
      <c r="F23" s="113" t="s">
        <v>1096</v>
      </c>
    </row>
    <row r="24" spans="1:6" s="48" customFormat="1" ht="21" customHeight="1">
      <c r="A24" s="83" t="s">
        <v>573</v>
      </c>
      <c r="B24" s="38" t="str">
        <f>IF(Általános!$B$19=Általános!$F$8,GLOBAL!B181,IF(Általános!$B$19=Általános!$F$9,GLOBAL!C181,IF(Általános!$B$19=Általános!$F$10,GLOBAL!D181)))</f>
        <v>Igazgatási költségek</v>
      </c>
      <c r="C24" s="188"/>
      <c r="D24" s="188"/>
      <c r="E24" s="188"/>
      <c r="F24" s="113" t="s">
        <v>1098</v>
      </c>
    </row>
    <row r="25" spans="1:6" s="48" customFormat="1" ht="21" customHeight="1">
      <c r="A25" s="87" t="s">
        <v>574</v>
      </c>
      <c r="B25" s="48" t="str">
        <f>IF(Általános!$B$19=Általános!$F$8,GLOBAL!B182,IF(Általános!$B$19=Általános!$F$9,GLOBAL!C182,IF(Általános!$B$19=Általános!$F$10,GLOBAL!D182)))</f>
        <v>Egyéb általános költségek</v>
      </c>
      <c r="C25" s="195"/>
      <c r="D25" s="195"/>
      <c r="E25" s="195"/>
      <c r="F25" s="113" t="s">
        <v>1100</v>
      </c>
    </row>
    <row r="26" spans="1:6" s="48" customFormat="1" ht="21" customHeight="1">
      <c r="A26" s="110" t="s">
        <v>1108</v>
      </c>
      <c r="B26" s="80" t="str">
        <f>IF(Általános!$B$19=Általános!$F$8,GLOBAL!B183,IF(Általános!$B$19=Általános!$F$9,GLOBAL!C183,IF(Általános!$B$19=Általános!$F$10,GLOBAL!D183)))&amp;" (06+07+08.)"</f>
        <v>Értékesítés közvetett költségei (06+07+08.)</v>
      </c>
      <c r="C26" s="193">
        <f>SUM(C23:C25)</f>
        <v>0</v>
      </c>
      <c r="D26" s="193">
        <f>SUM(D23:D25)</f>
        <v>0</v>
      </c>
      <c r="E26" s="193">
        <f>SUM(E23:E25)</f>
        <v>0</v>
      </c>
      <c r="F26" s="113" t="s">
        <v>1102</v>
      </c>
    </row>
    <row r="27" spans="1:6" s="48" customFormat="1" ht="21" customHeight="1">
      <c r="A27" s="110" t="s">
        <v>1116</v>
      </c>
      <c r="B27" s="80" t="str">
        <f>EredmÖsszktsg"A"!B18</f>
        <v>Egyéb bevételek</v>
      </c>
      <c r="C27" s="190"/>
      <c r="D27" s="190"/>
      <c r="E27" s="190"/>
      <c r="F27" s="113" t="s">
        <v>1107</v>
      </c>
    </row>
    <row r="28" spans="1:6" s="48" customFormat="1" ht="21" customHeight="1">
      <c r="A28" s="87"/>
      <c r="B28" s="88" t="str">
        <f>EredmÖsszktsg"A"!B19</f>
        <v>     III.sorból: visszaírt értékvesztés</v>
      </c>
      <c r="C28" s="195"/>
      <c r="D28" s="195"/>
      <c r="E28" s="195"/>
      <c r="F28" s="113" t="s">
        <v>1109</v>
      </c>
    </row>
    <row r="29" spans="1:6" s="77" customFormat="1" ht="21" customHeight="1">
      <c r="A29" s="110" t="s">
        <v>1118</v>
      </c>
      <c r="B29" s="89" t="str">
        <f>EredmÖsszktsg"A"!B31</f>
        <v>Egyéb ráfordítások</v>
      </c>
      <c r="C29" s="190"/>
      <c r="D29" s="190"/>
      <c r="E29" s="190"/>
      <c r="F29" s="113" t="s">
        <v>1111</v>
      </c>
    </row>
    <row r="30" spans="1:6" s="48" customFormat="1" ht="21" customHeight="1" thickBot="1">
      <c r="A30" s="85"/>
      <c r="B30" s="86" t="str">
        <f>EredmÖsszktsg"A"!B32</f>
        <v>     VII. sorból: értékvesztés</v>
      </c>
      <c r="C30" s="194"/>
      <c r="D30" s="194"/>
      <c r="E30" s="194"/>
      <c r="F30" s="113" t="s">
        <v>1113</v>
      </c>
    </row>
    <row r="31" spans="1:6" s="48" customFormat="1" ht="21" customHeight="1" thickBot="1">
      <c r="A31" s="111" t="s">
        <v>1126</v>
      </c>
      <c r="B31" s="40" t="str">
        <f>IF(Általános!$B$19=Általános!$F$8,GLOBAL!B147,IF(Általános!$B$19=Általános!$F$9,GLOBAL!C147,IF(Általános!$B$19=Általános!$F$10,GLOBAL!D147)))&amp;" (±III-IV+V-VI.)"</f>
        <v>ÜZEMI (ÜZLETI) TEVÉKENYSÉG EREDMÉNYE (±III-IV+V-VI.)</v>
      </c>
      <c r="C31" s="197">
        <f>C22-C26+C27-C29</f>
        <v>0</v>
      </c>
      <c r="D31" s="197">
        <f>D22-D26+D27-D29</f>
        <v>0</v>
      </c>
      <c r="E31" s="197">
        <f>E22-E26+E27-E29</f>
        <v>0</v>
      </c>
      <c r="F31" s="113" t="s">
        <v>1115</v>
      </c>
    </row>
    <row r="34" ht="12.75">
      <c r="A34" s="32" t="str">
        <f>Mérleg"A"!A39</f>
        <v>Keltezés:</v>
      </c>
    </row>
    <row r="35" ht="12.75">
      <c r="B35" s="263" t="str">
        <f>'Beszámoló Fedlap'!E47</f>
        <v>Komárom, 2016.04.29.</v>
      </c>
    </row>
    <row r="36" spans="2:5" ht="12.75">
      <c r="B36" s="126" t="str">
        <f>'Beszámoló Fedlap'!A44</f>
        <v>      P.H.</v>
      </c>
      <c r="C36" s="24"/>
      <c r="D36" s="24"/>
      <c r="E36" s="24"/>
    </row>
    <row r="37" spans="3:5" ht="12.75">
      <c r="C37" s="28" t="str">
        <f>IF(Általános!$B$19=Általános!$F$8,GLOBAL!B16,IF(Általános!$B$19=Általános!$F$9,GLOBAL!C16,IF(Általános!$B$19=Általános!$F$10,GLOBAL!D16)))</f>
        <v>vállalakozás vezetője</v>
      </c>
      <c r="D37" s="28"/>
      <c r="E37" s="28"/>
    </row>
    <row r="38" spans="3:5" ht="12.75">
      <c r="C38" s="28" t="str">
        <f>IF(Általános!$B$19=Általános!$F$8,GLOBAL!B17,IF(Általános!$B$19=Általános!$F$9,GLOBAL!C17,IF(Általános!$B$19=Általános!$F$10,GLOBAL!D17)))</f>
        <v>(képviselője)</v>
      </c>
      <c r="D38" s="28"/>
      <c r="E38" s="28"/>
    </row>
    <row r="46" spans="1:6" s="97" customFormat="1" ht="15" customHeight="1" thickBot="1">
      <c r="A46" s="95" t="str">
        <f>A1</f>
        <v>Statitsztikai számjel: 11183855353011311</v>
      </c>
      <c r="B46" s="96"/>
      <c r="F46" s="98"/>
    </row>
    <row r="47" spans="1:6" s="97" customFormat="1" ht="15" customHeight="1" thickBot="1">
      <c r="A47" s="95" t="str">
        <f aca="true" t="shared" si="0" ref="A47:B53">A2</f>
        <v>Cégjegyzék szám: 11-09-002700</v>
      </c>
      <c r="B47" s="7"/>
      <c r="E47" s="100">
        <v>52</v>
      </c>
      <c r="F47" s="98"/>
    </row>
    <row r="48" spans="1:6" s="97" customFormat="1" ht="15" customHeight="1">
      <c r="A48" s="95" t="str">
        <f t="shared" si="0"/>
        <v>A vállalkozás megnevezése</v>
      </c>
      <c r="B48" s="96"/>
      <c r="F48" s="98"/>
    </row>
    <row r="49" spans="2:6" s="97" customFormat="1" ht="16.5" customHeight="1">
      <c r="B49" s="105" t="str">
        <f t="shared" si="0"/>
        <v>Komáromi Távhő Kft</v>
      </c>
      <c r="E49" s="101"/>
      <c r="F49" s="98"/>
    </row>
    <row r="50" spans="1:6" s="1" customFormat="1" ht="18" customHeight="1">
      <c r="A50" s="102" t="str">
        <f t="shared" si="0"/>
        <v>Forgalmi költség eljárással készített eredménykimutatás</v>
      </c>
      <c r="B50" s="103"/>
      <c r="C50" s="42"/>
      <c r="D50" s="42"/>
      <c r="E50" s="104"/>
      <c r="F50" s="60"/>
    </row>
    <row r="51" spans="1:6" s="1" customFormat="1" ht="18" customHeight="1">
      <c r="A51" s="102" t="str">
        <f t="shared" si="0"/>
        <v>"A" változat</v>
      </c>
      <c r="B51" s="103"/>
      <c r="C51" s="42"/>
      <c r="D51" s="42"/>
      <c r="E51" s="104"/>
      <c r="F51" s="60"/>
    </row>
    <row r="52" spans="1:6" s="1" customFormat="1" ht="16.5" customHeight="1">
      <c r="A52" s="42" t="str">
        <f t="shared" si="0"/>
        <v>Az üzleti év mérlegfordulónapja: 2016.december 31. Hőszolg.</v>
      </c>
      <c r="B52" s="103"/>
      <c r="C52" s="42"/>
      <c r="D52" s="42"/>
      <c r="E52" s="42"/>
      <c r="F52" s="60"/>
    </row>
    <row r="53" spans="1:6" s="1" customFormat="1" ht="15" customHeight="1">
      <c r="A53" s="124" t="str">
        <f t="shared" si="0"/>
        <v>A közzétett adatokat könyvvizsgáló ellenőrizte</v>
      </c>
      <c r="B53" s="103"/>
      <c r="C53" s="42"/>
      <c r="D53" s="42"/>
      <c r="E53" s="42"/>
      <c r="F53" s="60"/>
    </row>
    <row r="54" spans="1:5" ht="13.5" thickBot="1">
      <c r="A54" s="1"/>
      <c r="B54" s="74"/>
      <c r="C54" s="1"/>
      <c r="D54" s="1"/>
      <c r="E54" s="73" t="str">
        <f>E12</f>
        <v>Adatok E Ft-ban</v>
      </c>
    </row>
    <row r="55" spans="1:6" s="48" customFormat="1" ht="37.5" customHeight="1">
      <c r="A55" s="12" t="str">
        <f>A13</f>
        <v>Sor-szám</v>
      </c>
      <c r="B55" s="16" t="str">
        <f>B13</f>
        <v>A tétel megnevezése</v>
      </c>
      <c r="C55" s="16" t="str">
        <f>C13</f>
        <v>2011.</v>
      </c>
      <c r="D55" s="352" t="str">
        <f>D13</f>
        <v>Előző év(ek) módosításai</v>
      </c>
      <c r="E55" s="6" t="str">
        <f>E13</f>
        <v>Tárgyév</v>
      </c>
      <c r="F55" s="54"/>
    </row>
    <row r="56" spans="1:6" s="48" customFormat="1" ht="9.75" customHeight="1" thickBot="1">
      <c r="A56" s="2" t="s">
        <v>1530</v>
      </c>
      <c r="B56" s="2" t="s">
        <v>1531</v>
      </c>
      <c r="C56" s="2" t="s">
        <v>1532</v>
      </c>
      <c r="D56" s="2" t="s">
        <v>565</v>
      </c>
      <c r="E56" s="13" t="s">
        <v>566</v>
      </c>
      <c r="F56" s="54"/>
    </row>
    <row r="57" spans="1:6" s="48" customFormat="1" ht="18" customHeight="1">
      <c r="A57" s="79" t="s">
        <v>575</v>
      </c>
      <c r="B57" s="34" t="str">
        <f>EredmÖsszktsg"A"!B54</f>
        <v>Kapott (járó) osztalék és részesedés</v>
      </c>
      <c r="C57" s="186"/>
      <c r="D57" s="186"/>
      <c r="E57" s="186"/>
      <c r="F57" s="15">
        <v>18</v>
      </c>
    </row>
    <row r="58" spans="1:6" s="48" customFormat="1" ht="18" customHeight="1">
      <c r="A58" s="79"/>
      <c r="B58" s="34" t="str">
        <f>IF(Általános!$B$19=Általános!$F$8,GLOBAL!B184,IF(Általános!$B$19=Általános!$F$9,GLOBAL!C184,IF(Általános!$B$19=Általános!$F$10,GLOBAL!D184)))</f>
        <v>     09. sorból: kapcsolt vállalkozástól kapott</v>
      </c>
      <c r="C58" s="186"/>
      <c r="D58" s="186"/>
      <c r="E58" s="186"/>
      <c r="F58" s="15">
        <v>19</v>
      </c>
    </row>
    <row r="59" spans="1:6" s="48" customFormat="1" ht="18" customHeight="1">
      <c r="A59" s="79" t="s">
        <v>576</v>
      </c>
      <c r="B59" s="34" t="str">
        <f>EredmÖsszktsg"A"!B56</f>
        <v>Részesedések értékesítésének árfolyamnyeresége</v>
      </c>
      <c r="C59" s="186"/>
      <c r="D59" s="186"/>
      <c r="E59" s="186"/>
      <c r="F59" s="15">
        <v>20</v>
      </c>
    </row>
    <row r="60" spans="1:6" s="48" customFormat="1" ht="18" customHeight="1">
      <c r="A60" s="79"/>
      <c r="B60" s="34" t="str">
        <f>IF(Általános!$B$19=Általános!$F$8,GLOBAL!B185,IF(Általános!$B$19=Általános!$F$9,GLOBAL!C185,IF(Általános!$B$19=Általános!$F$10,GLOBAL!D185)))</f>
        <v>     10. sorból: kapcsolt vállalkozástól kapott</v>
      </c>
      <c r="C60" s="186"/>
      <c r="D60" s="186"/>
      <c r="E60" s="186"/>
      <c r="F60" s="15">
        <v>21</v>
      </c>
    </row>
    <row r="61" spans="1:6" s="48" customFormat="1" ht="18" customHeight="1">
      <c r="A61" s="79" t="s">
        <v>577</v>
      </c>
      <c r="B61" s="34" t="str">
        <f>EredmÖsszktsg"A"!B58</f>
        <v>Befektetett pénzügyi eszközök kamatai, árfolyamnyeresége</v>
      </c>
      <c r="C61" s="186"/>
      <c r="D61" s="186"/>
      <c r="E61" s="186"/>
      <c r="F61" s="15">
        <v>22</v>
      </c>
    </row>
    <row r="62" spans="1:6" s="48" customFormat="1" ht="18" customHeight="1">
      <c r="A62" s="79"/>
      <c r="B62" s="34" t="str">
        <f>IF(Általános!$B$19=Általános!$F$8,GLOBAL!B186,IF(Általános!$B$19=Általános!$F$9,GLOBAL!C186,IF(Általános!$B$19=Általános!$F$10,GLOBAL!D186)))</f>
        <v>     11. sorból: kapcsolt vállalkozástól kapott</v>
      </c>
      <c r="C62" s="186"/>
      <c r="D62" s="186"/>
      <c r="E62" s="186"/>
      <c r="F62" s="15">
        <v>23</v>
      </c>
    </row>
    <row r="63" spans="1:6" s="48" customFormat="1" ht="18" customHeight="1">
      <c r="A63" s="79" t="s">
        <v>578</v>
      </c>
      <c r="B63" s="34" t="str">
        <f>EredmÖsszktsg"A"!B60</f>
        <v>Egyéb kapott (járó) kamatok és kamatjellegű bevételek</v>
      </c>
      <c r="C63" s="186"/>
      <c r="D63" s="186"/>
      <c r="E63" s="186"/>
      <c r="F63" s="15">
        <v>24</v>
      </c>
    </row>
    <row r="64" spans="1:6" s="48" customFormat="1" ht="18" customHeight="1">
      <c r="A64" s="79"/>
      <c r="B64" s="34" t="str">
        <f>IF(Általános!$B$19=Általános!$F$8,GLOBAL!B187,IF(Általános!$B$19=Általános!$F$9,GLOBAL!C187,IF(Általános!$B$19=Általános!$F$10,GLOBAL!D187)))</f>
        <v>     12. sorból: kapcsolt vállalkozástól kapott</v>
      </c>
      <c r="C64" s="186"/>
      <c r="D64" s="186"/>
      <c r="E64" s="186"/>
      <c r="F64" s="15">
        <v>25</v>
      </c>
    </row>
    <row r="65" spans="1:6" s="48" customFormat="1" ht="18" customHeight="1">
      <c r="A65" s="108" t="s">
        <v>1192</v>
      </c>
      <c r="B65" s="35" t="str">
        <f>EredmÖsszktsg"A"!B62</f>
        <v>Pénzügyi műveletek egyéb bevételei</v>
      </c>
      <c r="C65" s="187"/>
      <c r="D65" s="187"/>
      <c r="E65" s="187"/>
      <c r="F65" s="15">
        <v>26</v>
      </c>
    </row>
    <row r="66" spans="1:6" s="48" customFormat="1" ht="18" customHeight="1">
      <c r="A66" s="109" t="s">
        <v>1121</v>
      </c>
      <c r="B66" s="90" t="str">
        <f>IF(Általános!$B$19=Általános!$F$8,GLOBAL!B157,IF(Általános!$B$19=Általános!$F$9,GLOBAL!C157,IF(Általános!$B$19=Általános!$F$10,GLOBAL!D157)))&amp;" (09+10+11+12+13)"</f>
        <v>Pénzügyi műveletek bevételei (09+10+11+12+13)</v>
      </c>
      <c r="C66" s="192">
        <f>C57+C59+C61+C63+C65</f>
        <v>0</v>
      </c>
      <c r="D66" s="192">
        <f>D57+D59+D61+D63+D65</f>
        <v>0</v>
      </c>
      <c r="E66" s="193">
        <f>E57+E59+E61+E63+E65</f>
        <v>0</v>
      </c>
      <c r="F66" s="15">
        <v>27</v>
      </c>
    </row>
    <row r="67" spans="1:6" s="48" customFormat="1" ht="18" customHeight="1">
      <c r="A67" s="79" t="s">
        <v>1193</v>
      </c>
      <c r="B67" s="34" t="str">
        <f>EredmÖsszktsg"A"!B64</f>
        <v>Befektetett pénzügyi eszközök árfolyamvesztesége</v>
      </c>
      <c r="C67" s="186"/>
      <c r="D67" s="186"/>
      <c r="E67" s="186"/>
      <c r="F67" s="15">
        <v>28</v>
      </c>
    </row>
    <row r="68" spans="1:6" s="48" customFormat="1" ht="18" customHeight="1">
      <c r="A68" s="79"/>
      <c r="B68" s="34" t="s">
        <v>700</v>
      </c>
      <c r="C68" s="186"/>
      <c r="D68" s="186"/>
      <c r="E68" s="186"/>
      <c r="F68" s="15">
        <v>29</v>
      </c>
    </row>
    <row r="69" spans="1:6" s="48" customFormat="1" ht="18" customHeight="1">
      <c r="A69" s="79" t="s">
        <v>1194</v>
      </c>
      <c r="B69" s="34" t="str">
        <f>EredmÖsszktsg"A"!B66</f>
        <v>Fizetendő kamatok és kamatjellegű ráfordítások</v>
      </c>
      <c r="C69" s="186"/>
      <c r="D69" s="186"/>
      <c r="E69" s="186"/>
      <c r="F69" s="15">
        <v>30</v>
      </c>
    </row>
    <row r="70" spans="1:6" s="48" customFormat="1" ht="18" customHeight="1">
      <c r="A70" s="79"/>
      <c r="B70" s="34" t="s">
        <v>701</v>
      </c>
      <c r="C70" s="186"/>
      <c r="D70" s="186"/>
      <c r="E70" s="186"/>
      <c r="F70" s="15">
        <v>31</v>
      </c>
    </row>
    <row r="71" spans="1:6" s="48" customFormat="1" ht="18" customHeight="1">
      <c r="A71" s="79" t="s">
        <v>1195</v>
      </c>
      <c r="B71" s="34" t="str">
        <f>EredmÖsszktsg"A"!B68</f>
        <v>Részesedések, értékpapírok, bankbetétek értékvesztése</v>
      </c>
      <c r="C71" s="186"/>
      <c r="D71" s="186"/>
      <c r="E71" s="186"/>
      <c r="F71" s="15">
        <v>32</v>
      </c>
    </row>
    <row r="72" spans="1:6" s="48" customFormat="1" ht="18" customHeight="1">
      <c r="A72" s="108" t="s">
        <v>1196</v>
      </c>
      <c r="B72" s="35" t="str">
        <f>EredmÖsszktsg"A"!B69</f>
        <v>Pénzügyi műveletek egyéb ráfordításai</v>
      </c>
      <c r="C72" s="187"/>
      <c r="D72" s="187"/>
      <c r="E72" s="187"/>
      <c r="F72" s="15">
        <v>33</v>
      </c>
    </row>
    <row r="73" spans="1:6" s="48" customFormat="1" ht="18" customHeight="1" thickBot="1">
      <c r="A73" s="114" t="s">
        <v>343</v>
      </c>
      <c r="B73" s="91" t="str">
        <f>IF(Általános!$B$19=Általános!$F$8,GLOBAL!B164,IF(Általános!$B$19=Általános!$F$9,GLOBAL!C164,IF(Általános!$B$19=Általános!$F$10,GLOBAL!D164)))&amp;" (14+15±16+17)"</f>
        <v>Pénzügyi műveletek ráfordításai (14+15±16+17)</v>
      </c>
      <c r="C73" s="200">
        <f>C67+C69+C71+C72</f>
        <v>0</v>
      </c>
      <c r="D73" s="200">
        <f>D67+D69+D71+D72</f>
        <v>0</v>
      </c>
      <c r="E73" s="196">
        <f>E67+E69+E71+E72</f>
        <v>0</v>
      </c>
      <c r="F73" s="15">
        <v>34</v>
      </c>
    </row>
    <row r="74" spans="1:6" s="48" customFormat="1" ht="18" customHeight="1" thickBot="1">
      <c r="A74" s="108" t="s">
        <v>676</v>
      </c>
      <c r="B74" s="61" t="str">
        <f>IF(Általános!$B$19=Általános!$F$8,GLOBAL!B165,IF(Általános!$B$19=Általános!$F$9,GLOBAL!C165,IF(Általános!$B$19=Általános!$F$10,GLOBAL!D165)))&amp;" (VII-VIII)"</f>
        <v>PÉNZÜGYI MŰVELETEK EREDMÉNYE (VII-VIII)</v>
      </c>
      <c r="C74" s="201">
        <f>C66-C73</f>
        <v>0</v>
      </c>
      <c r="D74" s="201">
        <f>D66-D73</f>
        <v>0</v>
      </c>
      <c r="E74" s="201">
        <f>E66-E73</f>
        <v>0</v>
      </c>
      <c r="F74" s="15">
        <v>35</v>
      </c>
    </row>
    <row r="75" spans="1:6" s="48" customFormat="1" ht="18" customHeight="1" thickBot="1">
      <c r="A75" s="115" t="s">
        <v>677</v>
      </c>
      <c r="B75" s="36" t="str">
        <f>EredmÖsszktsg"A"!B72</f>
        <v>SZOKÁSOS VÁLLALKOZÁSI EREDMÉNY (±A±B.)</v>
      </c>
      <c r="C75" s="202">
        <f>C31+C74</f>
        <v>0</v>
      </c>
      <c r="D75" s="202">
        <f>D31+D74</f>
        <v>0</v>
      </c>
      <c r="E75" s="202">
        <f>E31+E74</f>
        <v>0</v>
      </c>
      <c r="F75" s="15">
        <v>36</v>
      </c>
    </row>
    <row r="76" spans="1:6" s="48" customFormat="1" ht="18" customHeight="1">
      <c r="A76" s="116" t="s">
        <v>675</v>
      </c>
      <c r="B76" s="92" t="str">
        <f>EredmÖsszktsg"A"!B73</f>
        <v>Rendkívüli bevételek</v>
      </c>
      <c r="C76" s="203"/>
      <c r="D76" s="203"/>
      <c r="E76" s="198"/>
      <c r="F76" s="15">
        <v>37</v>
      </c>
    </row>
    <row r="77" spans="1:6" s="48" customFormat="1" ht="18" customHeight="1" thickBot="1">
      <c r="A77" s="114" t="s">
        <v>678</v>
      </c>
      <c r="B77" s="91" t="str">
        <f>EredmÖsszktsg"A"!B74</f>
        <v>Rendkívüli ráfordítások</v>
      </c>
      <c r="C77" s="204"/>
      <c r="D77" s="204"/>
      <c r="E77" s="199"/>
      <c r="F77" s="15">
        <v>38</v>
      </c>
    </row>
    <row r="78" spans="1:6" s="48" customFormat="1" ht="18" customHeight="1" thickBot="1">
      <c r="A78" s="108" t="s">
        <v>682</v>
      </c>
      <c r="B78" s="37" t="str">
        <f>IF(Általános!$B$19=Általános!$F$8,GLOBAL!B169,IF(Általános!$B$19=Általános!$F$9,GLOBAL!C169,IF(Általános!$B$19=Általános!$F$10,GLOBAL!D169)))&amp;" (IX-X)"</f>
        <v>RENDKÍVÜLI EREDMÉNY (IX-X)</v>
      </c>
      <c r="C78" s="201">
        <f>C76-C77</f>
        <v>0</v>
      </c>
      <c r="D78" s="201">
        <f>D76-D77</f>
        <v>0</v>
      </c>
      <c r="E78" s="201">
        <f>E76-E77</f>
        <v>0</v>
      </c>
      <c r="F78" s="15">
        <v>39</v>
      </c>
    </row>
    <row r="79" spans="1:6" s="48" customFormat="1" ht="18" customHeight="1" thickBot="1">
      <c r="A79" s="115" t="s">
        <v>683</v>
      </c>
      <c r="B79" s="36" t="str">
        <f>EredmÖsszktsg"A"!B76</f>
        <v>ADÓZÁS ELŐTTI EREDMÉNY (±C±D.)</v>
      </c>
      <c r="C79" s="202">
        <f>C75+C78</f>
        <v>0</v>
      </c>
      <c r="D79" s="202">
        <f>D75+D78</f>
        <v>0</v>
      </c>
      <c r="E79" s="202">
        <f>E75+E78</f>
        <v>0</v>
      </c>
      <c r="F79" s="15">
        <v>40</v>
      </c>
    </row>
    <row r="80" spans="1:6" s="48" customFormat="1" ht="18" customHeight="1" thickBot="1">
      <c r="A80" s="108" t="s">
        <v>680</v>
      </c>
      <c r="B80" s="37" t="str">
        <f>EredmÖsszktsg"A"!B77</f>
        <v>Adófizetési kötelezettség</v>
      </c>
      <c r="C80" s="187"/>
      <c r="D80" s="187"/>
      <c r="E80" s="187"/>
      <c r="F80" s="15">
        <v>41</v>
      </c>
    </row>
    <row r="81" spans="1:6" s="48" customFormat="1" ht="18" customHeight="1" thickBot="1">
      <c r="A81" s="115" t="s">
        <v>686</v>
      </c>
      <c r="B81" s="36" t="str">
        <f>IF(Általános!$B$19=Általános!$F$8,GLOBAL!B172,IF(Általános!$B$19=Általános!$F$9,GLOBAL!C172,IF(Általános!$B$19=Általános!$F$10,GLOBAL!D172)))&amp;" (±E-XI.)"</f>
        <v>Adózott eredmény (±E-XI.)</v>
      </c>
      <c r="C81" s="202">
        <f>C79-C80</f>
        <v>0</v>
      </c>
      <c r="D81" s="202">
        <f>D79-D80</f>
        <v>0</v>
      </c>
      <c r="E81" s="202">
        <f>E79-E80</f>
        <v>0</v>
      </c>
      <c r="F81" s="15">
        <v>42</v>
      </c>
    </row>
    <row r="82" spans="1:6" s="48" customFormat="1" ht="18" customHeight="1">
      <c r="A82" s="79" t="s">
        <v>1197</v>
      </c>
      <c r="B82" s="34" t="str">
        <f>EredmÖsszktsg"A"!B79</f>
        <v>Eredménytartalék igénybevétele osztalékra, részesedésre</v>
      </c>
      <c r="C82" s="186"/>
      <c r="D82" s="186"/>
      <c r="E82" s="186"/>
      <c r="F82" s="15">
        <v>43</v>
      </c>
    </row>
    <row r="83" spans="1:6" s="48" customFormat="1" ht="18" customHeight="1" thickBot="1">
      <c r="A83" s="108" t="s">
        <v>1198</v>
      </c>
      <c r="B83" s="35" t="str">
        <f>EredmÖsszktsg"A"!B80</f>
        <v>Fizetett (jóváhagyott) osztalék és részesedés</v>
      </c>
      <c r="C83" s="187"/>
      <c r="D83" s="187"/>
      <c r="E83" s="187"/>
      <c r="F83" s="15">
        <v>44</v>
      </c>
    </row>
    <row r="84" spans="1:6" s="48" customFormat="1" ht="18" customHeight="1" thickBot="1">
      <c r="A84" s="115" t="s">
        <v>689</v>
      </c>
      <c r="B84" s="36" t="str">
        <f>IF(Általános!$B$19=Általános!$F$8,GLOBAL!B175,IF(Általános!$B$19=Általános!$F$9,GLOBAL!C175,IF(Általános!$B$19=Általános!$F$10,GLOBAL!D175)))&amp;" (±F+18-19)"</f>
        <v>MÉRLEG SZERINTI EREDMÉNY (±F+18-19)</v>
      </c>
      <c r="C84" s="202">
        <f>C81+C82-C83</f>
        <v>0</v>
      </c>
      <c r="D84" s="202">
        <f>D81+D82-D83</f>
        <v>0</v>
      </c>
      <c r="E84" s="202">
        <f>E81+E82-E83</f>
        <v>0</v>
      </c>
      <c r="F84" s="15">
        <v>45</v>
      </c>
    </row>
    <row r="85" spans="1:6" s="48" customFormat="1" ht="18" customHeight="1">
      <c r="A85" s="78"/>
      <c r="B85" s="41"/>
      <c r="C85" s="44"/>
      <c r="D85" s="44"/>
      <c r="E85" s="44"/>
      <c r="F85" s="72"/>
    </row>
    <row r="86" ht="12.75">
      <c r="A86" s="32" t="str">
        <f>A34</f>
        <v>Keltezés:</v>
      </c>
    </row>
    <row r="87" ht="12.75">
      <c r="B87" s="354" t="str">
        <f>B35</f>
        <v>Komárom, 2016.04.29.</v>
      </c>
    </row>
    <row r="88" spans="2:5" ht="12.75">
      <c r="B88" s="126" t="str">
        <f>B36</f>
        <v>      P.H.</v>
      </c>
      <c r="C88" s="24"/>
      <c r="D88" s="24"/>
      <c r="E88" s="24"/>
    </row>
    <row r="89" spans="3:5" ht="12.75">
      <c r="C89" s="28" t="str">
        <f>C37</f>
        <v>vállalakozás vezetője</v>
      </c>
      <c r="D89" s="28"/>
      <c r="E89" s="28"/>
    </row>
    <row r="90" spans="3:5" ht="12.75">
      <c r="C90" s="28" t="str">
        <f>C38</f>
        <v>(képviselője)</v>
      </c>
      <c r="D90" s="28"/>
      <c r="E90" s="28"/>
    </row>
  </sheetData>
  <printOptions horizontalCentered="1"/>
  <pageMargins left="0.3937007874015748" right="0.3937007874015748" top="0.3937007874015748" bottom="0.3937007874015748" header="0.3937007874015748" footer="0.3937007874015748"/>
  <pageSetup horizontalDpi="120" verticalDpi="120" orientation="portrait" paperSize="9" r:id="rId2"/>
  <rowBreaks count="1" manualBreakCount="1">
    <brk id="45" max="255" man="1"/>
  </rowBreaks>
  <drawing r:id="rId1"/>
</worksheet>
</file>

<file path=xl/worksheets/sheet60.xml><?xml version="1.0" encoding="utf-8"?>
<worksheet xmlns="http://schemas.openxmlformats.org/spreadsheetml/2006/main" xmlns:r="http://schemas.openxmlformats.org/officeDocument/2006/relationships">
  <sheetPr codeName="Munka53"/>
  <dimension ref="A1:K26"/>
  <sheetViews>
    <sheetView workbookViewId="0" topLeftCell="A1">
      <selection activeCell="L21" sqref="L21"/>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780</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1" t="s">
        <v>1848</v>
      </c>
      <c r="B5" s="2522"/>
      <c r="C5" s="2519" t="s">
        <v>43</v>
      </c>
      <c r="D5" s="2520"/>
      <c r="E5" s="2490" t="s">
        <v>790</v>
      </c>
      <c r="F5" s="2491"/>
      <c r="G5" s="2492" t="s">
        <v>788</v>
      </c>
      <c r="H5" s="2493"/>
      <c r="I5" s="2494" t="s">
        <v>789</v>
      </c>
      <c r="J5" s="2493"/>
    </row>
    <row r="6" spans="1:10" s="739" customFormat="1" ht="21" customHeight="1" thickBot="1">
      <c r="A6" s="2523"/>
      <c r="B6" s="2524"/>
      <c r="C6" s="1104" t="s">
        <v>603</v>
      </c>
      <c r="D6" s="1105" t="s">
        <v>922</v>
      </c>
      <c r="E6" s="1515" t="s">
        <v>603</v>
      </c>
      <c r="F6" s="1516" t="s">
        <v>922</v>
      </c>
      <c r="G6" s="1517" t="s">
        <v>603</v>
      </c>
      <c r="H6" s="1518" t="s">
        <v>922</v>
      </c>
      <c r="I6" s="1515" t="s">
        <v>603</v>
      </c>
      <c r="J6" s="1518" t="s">
        <v>922</v>
      </c>
    </row>
    <row r="7" spans="1:10" s="744" customFormat="1" ht="21" customHeight="1" hidden="1" thickTop="1">
      <c r="A7" s="1112"/>
      <c r="B7" s="1397"/>
      <c r="C7" s="1398"/>
      <c r="D7" s="1399"/>
      <c r="E7" s="1064"/>
      <c r="F7" s="1064"/>
      <c r="G7" s="1064"/>
      <c r="H7" s="1064"/>
      <c r="I7" s="1064"/>
      <c r="J7" s="1064"/>
    </row>
    <row r="8" spans="1:10" s="744" customFormat="1" ht="21" customHeight="1" thickTop="1">
      <c r="A8" s="1106"/>
      <c r="B8" s="1107"/>
      <c r="C8" s="1115"/>
      <c r="D8" s="1116"/>
      <c r="E8" s="1520"/>
      <c r="F8" s="1521"/>
      <c r="G8" s="1520"/>
      <c r="H8" s="1521"/>
      <c r="I8" s="1522"/>
      <c r="J8" s="1521"/>
    </row>
    <row r="9" spans="1:10" s="744" customFormat="1" ht="21" customHeight="1">
      <c r="A9" s="1106"/>
      <c r="B9" s="1107"/>
      <c r="C9" s="1115"/>
      <c r="D9" s="1116"/>
      <c r="E9" s="1523"/>
      <c r="F9" s="1524"/>
      <c r="G9" s="1523"/>
      <c r="H9" s="1524"/>
      <c r="I9" s="1525"/>
      <c r="J9" s="1524"/>
    </row>
    <row r="10" spans="1:10" s="744" customFormat="1" ht="21" customHeight="1" thickBot="1">
      <c r="A10" s="1108"/>
      <c r="B10" s="1109"/>
      <c r="C10" s="1400"/>
      <c r="D10" s="1401"/>
      <c r="E10" s="1526"/>
      <c r="F10" s="1527"/>
      <c r="G10" s="1526"/>
      <c r="H10" s="1527"/>
      <c r="I10" s="1528"/>
      <c r="J10" s="1527"/>
    </row>
    <row r="11" spans="1:10" s="744" customFormat="1" ht="22.5" customHeight="1" thickBot="1" thickTop="1">
      <c r="A11" s="2465" t="s">
        <v>327</v>
      </c>
      <c r="B11" s="2497"/>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394"/>
      <c r="F12" s="1393"/>
      <c r="G12" s="1392"/>
      <c r="H12" s="1393"/>
      <c r="I12" s="1392"/>
      <c r="J12" s="1393"/>
    </row>
    <row r="13" spans="1:10" s="744" customFormat="1" ht="21" customHeight="1" thickTop="1">
      <c r="A13" s="1106"/>
      <c r="B13" s="1114"/>
      <c r="C13" s="1115"/>
      <c r="D13" s="1116"/>
      <c r="E13" s="1333"/>
      <c r="F13" s="1323"/>
      <c r="G13" s="1338"/>
      <c r="H13" s="1323"/>
      <c r="I13" s="1338"/>
      <c r="J13" s="1323"/>
    </row>
    <row r="14" spans="1:10" s="744" customFormat="1" ht="21" customHeight="1">
      <c r="A14" s="110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6.25" customHeight="1" thickBot="1" thickTop="1">
      <c r="A16" s="2465" t="s">
        <v>243</v>
      </c>
      <c r="B16" s="2497"/>
      <c r="C16" s="1110">
        <f>SUM(C12:C15)</f>
        <v>0</v>
      </c>
      <c r="D16" s="1111">
        <f>SUM(D12:D15)</f>
        <v>0</v>
      </c>
      <c r="E16" s="1326">
        <f>ROUND(C16/1000,0)</f>
        <v>0</v>
      </c>
      <c r="F16" s="1335">
        <f>ROUND(D16/1000,0)</f>
        <v>0</v>
      </c>
      <c r="G16" s="1340"/>
      <c r="H16" s="1341"/>
      <c r="I16" s="1330">
        <f>E16+G16</f>
        <v>0</v>
      </c>
      <c r="J16" s="1327">
        <f>F16+H16</f>
        <v>0</v>
      </c>
    </row>
    <row r="17" spans="1:10" s="744" customFormat="1" ht="21" customHeight="1" hidden="1" thickTop="1">
      <c r="A17" s="1112"/>
      <c r="B17" s="1113"/>
      <c r="C17" s="1398"/>
      <c r="D17" s="1399"/>
      <c r="E17" s="1332"/>
      <c r="F17" s="1332"/>
      <c r="G17" s="1337"/>
      <c r="H17" s="1321"/>
      <c r="I17" s="1337"/>
      <c r="J17" s="1321"/>
    </row>
    <row r="18" spans="1:10" s="744" customFormat="1" ht="21" customHeight="1" thickTop="1">
      <c r="A18" s="1106"/>
      <c r="B18" s="1114"/>
      <c r="C18" s="1115"/>
      <c r="D18" s="1116"/>
      <c r="E18" s="1333"/>
      <c r="F18" s="1333"/>
      <c r="G18" s="1338"/>
      <c r="H18" s="1323"/>
      <c r="I18" s="1338"/>
      <c r="J18" s="1323"/>
    </row>
    <row r="19" spans="1:10" s="744" customFormat="1" ht="21" customHeight="1">
      <c r="A19" s="1106"/>
      <c r="B19" s="1114"/>
      <c r="C19" s="1115"/>
      <c r="D19" s="1116"/>
      <c r="E19" s="1333"/>
      <c r="F19" s="1333"/>
      <c r="G19" s="1338"/>
      <c r="H19" s="1323"/>
      <c r="I19" s="1338"/>
      <c r="J19" s="1323"/>
    </row>
    <row r="20" spans="1:10" s="744" customFormat="1" ht="21" customHeight="1" thickBot="1">
      <c r="A20" s="1118"/>
      <c r="B20" s="1119"/>
      <c r="C20" s="1400"/>
      <c r="D20" s="1401"/>
      <c r="E20" s="1334"/>
      <c r="F20" s="1334"/>
      <c r="G20" s="1339"/>
      <c r="H20" s="1325"/>
      <c r="I20" s="1339"/>
      <c r="J20" s="1325"/>
    </row>
    <row r="21" spans="1:10" s="744" customFormat="1" ht="24.75" customHeight="1" thickBot="1" thickTop="1">
      <c r="A21" s="2465" t="s">
        <v>1463</v>
      </c>
      <c r="B21" s="2497"/>
      <c r="C21" s="1110">
        <f>SUM(C17:C20)</f>
        <v>0</v>
      </c>
      <c r="D21" s="1111">
        <f>SUM(D17:D20)</f>
        <v>0</v>
      </c>
      <c r="E21" s="1326">
        <f>ROUND(C21/1000,0)</f>
        <v>0</v>
      </c>
      <c r="F21" s="1335">
        <f>ROUND(D21/1000,0)</f>
        <v>0</v>
      </c>
      <c r="G21" s="1340"/>
      <c r="H21" s="1341"/>
      <c r="I21" s="1330">
        <f>E21+G21</f>
        <v>0</v>
      </c>
      <c r="J21" s="1327">
        <f>F21+H21</f>
        <v>0</v>
      </c>
    </row>
    <row r="22" spans="1:10" s="744" customFormat="1" ht="21" customHeight="1" thickBot="1" thickTop="1">
      <c r="A22" s="2525"/>
      <c r="B22" s="2525"/>
      <c r="C22" s="1120"/>
      <c r="D22" s="1120"/>
      <c r="E22" s="1064"/>
      <c r="F22" s="1064"/>
      <c r="G22" s="1064"/>
      <c r="H22" s="1064"/>
      <c r="I22" s="1064"/>
      <c r="J22" s="1064"/>
    </row>
    <row r="23" spans="1:10" s="744" customFormat="1" ht="21" customHeight="1" thickBot="1" thickTop="1">
      <c r="A23" s="2465" t="s">
        <v>1496</v>
      </c>
      <c r="B23" s="2497"/>
      <c r="C23" s="1403">
        <f aca="true" t="shared" si="0" ref="C23:H23">SUM(C11,C16,C21)</f>
        <v>0</v>
      </c>
      <c r="D23" s="1404">
        <f t="shared" si="0"/>
        <v>0</v>
      </c>
      <c r="E23" s="1530">
        <f t="shared" si="0"/>
        <v>0</v>
      </c>
      <c r="F23" s="1530">
        <f t="shared" si="0"/>
        <v>0</v>
      </c>
      <c r="G23" s="1530">
        <f t="shared" si="0"/>
        <v>0</v>
      </c>
      <c r="H23" s="1538">
        <f t="shared" si="0"/>
        <v>0</v>
      </c>
      <c r="I23" s="1342">
        <f>ROUND(C23/1000,0)</f>
        <v>0</v>
      </c>
      <c r="J23" s="1343">
        <f>ROUND(D23/1000,0)</f>
        <v>0</v>
      </c>
    </row>
    <row r="24" spans="1:11" s="743" customFormat="1" ht="19.5" customHeight="1" thickBot="1" thickTop="1">
      <c r="A24" s="742"/>
      <c r="B24" s="1036"/>
      <c r="C24" s="1039"/>
      <c r="D24" s="1039"/>
      <c r="E24" s="388"/>
      <c r="F24" s="388"/>
      <c r="G24" s="388"/>
      <c r="H24" s="388"/>
      <c r="I24" s="1345" t="str">
        <f>IF(I23-G23-E23=0,"OK",I23-G23-E23)</f>
        <v>OK</v>
      </c>
      <c r="J24" s="1345" t="str">
        <f>IF(J23-H23-F23=0,"OK",J23-H23-F23)</f>
        <v>OK</v>
      </c>
      <c r="K24" s="1040"/>
    </row>
    <row r="25" spans="1:10" s="743" customFormat="1" ht="19.5" customHeight="1">
      <c r="A25" s="742"/>
      <c r="B25" s="742"/>
      <c r="C25" s="1039"/>
      <c r="D25" s="1039"/>
      <c r="E25" s="1039"/>
      <c r="F25" s="1039"/>
      <c r="G25" s="1039"/>
      <c r="H25" s="1039"/>
      <c r="I25" s="1039"/>
      <c r="J25" s="1039"/>
    </row>
    <row r="26" spans="1:10" s="743" customFormat="1" ht="19.5" customHeight="1">
      <c r="A26" s="742"/>
      <c r="B26" s="1036"/>
      <c r="C26" s="1039"/>
      <c r="D26" s="1039"/>
      <c r="E26" s="1039"/>
      <c r="F26" s="1039"/>
      <c r="G26" s="1039"/>
      <c r="H26" s="1039"/>
      <c r="I26" s="1039"/>
      <c r="J26" s="1039"/>
    </row>
    <row r="27" s="1041" customFormat="1" ht="11.25"/>
    <row r="28" s="1041" customFormat="1" ht="11.25"/>
    <row r="29" s="1132" customFormat="1" ht="11.25"/>
    <row r="30" s="1132" customFormat="1" ht="11.25"/>
    <row r="31" s="1132" customFormat="1" ht="11.25"/>
    <row r="32" s="1132" customFormat="1" ht="11.25"/>
  </sheetData>
  <mergeCells count="10">
    <mergeCell ref="A5:B6"/>
    <mergeCell ref="A22:B22"/>
    <mergeCell ref="A23:B23"/>
    <mergeCell ref="A11:B11"/>
    <mergeCell ref="A16:B16"/>
    <mergeCell ref="A21:B21"/>
    <mergeCell ref="E5:F5"/>
    <mergeCell ref="G5:H5"/>
    <mergeCell ref="I5:J5"/>
    <mergeCell ref="C5:D5"/>
  </mergeCells>
  <printOptions horizontalCentered="1"/>
  <pageMargins left="0.7874015748031497" right="0.7874015748031497" top="0.5905511811023623" bottom="0.61" header="0.3937007874015748" footer="0.4"/>
  <pageSetup horizontalDpi="600" verticalDpi="600" orientation="portrait" paperSize="9" r:id="rId3"/>
  <headerFooter alignWithMargins="0">
    <oddFooter>&amp;L&amp;U                                                &amp;U
        vállalkozás vezetője
             (képviselője)&amp;C&amp;P/&amp;N&amp;R&amp;A</oddFooter>
  </headerFooter>
  <legacyDrawing r:id="rId2"/>
</worksheet>
</file>

<file path=xl/worksheets/sheet61.xml><?xml version="1.0" encoding="utf-8"?>
<worksheet xmlns="http://schemas.openxmlformats.org/spreadsheetml/2006/main" xmlns:r="http://schemas.openxmlformats.org/officeDocument/2006/relationships">
  <sheetPr codeName="Munka54"/>
  <dimension ref="A1:J87"/>
  <sheetViews>
    <sheetView workbookViewId="0" topLeftCell="A1">
      <pane ySplit="6" topLeftCell="BM8" activePane="bottomLeft" state="frozen"/>
      <selection pane="topLeft" activeCell="A1" sqref="A1"/>
      <selection pane="bottomLeft" activeCell="O41" sqref="O41:X47"/>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1679</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69" customFormat="1" ht="21" customHeight="1" thickTop="1">
      <c r="A5" s="2469" t="s">
        <v>329</v>
      </c>
      <c r="B5" s="2500"/>
      <c r="C5" s="2498" t="s">
        <v>43</v>
      </c>
      <c r="D5" s="2464"/>
      <c r="E5" s="2518" t="s">
        <v>790</v>
      </c>
      <c r="F5" s="2491"/>
      <c r="G5" s="2492" t="s">
        <v>788</v>
      </c>
      <c r="H5" s="2493"/>
      <c r="I5" s="2494" t="s">
        <v>789</v>
      </c>
      <c r="J5" s="2491"/>
    </row>
    <row r="6" spans="1:10" s="769" customFormat="1" ht="21" customHeight="1" thickBot="1">
      <c r="A6" s="2470"/>
      <c r="B6" s="2502"/>
      <c r="C6" s="982" t="s">
        <v>1205</v>
      </c>
      <c r="D6" s="773" t="s">
        <v>1206</v>
      </c>
      <c r="E6" s="1869" t="s">
        <v>1205</v>
      </c>
      <c r="F6" s="1539" t="s">
        <v>1206</v>
      </c>
      <c r="G6" s="1540" t="s">
        <v>1205</v>
      </c>
      <c r="H6" s="1539" t="s">
        <v>1206</v>
      </c>
      <c r="I6" s="1540" t="s">
        <v>1205</v>
      </c>
      <c r="J6" s="1249" t="s">
        <v>1206</v>
      </c>
    </row>
    <row r="7" spans="1:10" s="769" customFormat="1" ht="21" customHeight="1" hidden="1" thickTop="1">
      <c r="A7" s="1871"/>
      <c r="B7" s="1872"/>
      <c r="C7" s="1873"/>
      <c r="D7" s="1874"/>
      <c r="E7" s="1064"/>
      <c r="F7" s="1064"/>
      <c r="G7" s="1064"/>
      <c r="H7" s="1064"/>
      <c r="I7" s="1064"/>
      <c r="J7" s="1064"/>
    </row>
    <row r="8" spans="1:10" s="769" customFormat="1" ht="21" customHeight="1" thickTop="1">
      <c r="A8" s="1121"/>
      <c r="B8" s="1122"/>
      <c r="C8" s="1145"/>
      <c r="D8" s="1146"/>
      <c r="E8" s="1522"/>
      <c r="F8" s="1521"/>
      <c r="G8" s="1520"/>
      <c r="H8" s="1521"/>
      <c r="I8" s="1522"/>
      <c r="J8" s="1521"/>
    </row>
    <row r="9" spans="1:10" s="769" customFormat="1" ht="21" customHeight="1">
      <c r="A9" s="1124"/>
      <c r="B9" s="1125"/>
      <c r="C9" s="1147"/>
      <c r="D9" s="1148"/>
      <c r="E9" s="1525"/>
      <c r="F9" s="1524"/>
      <c r="G9" s="1523"/>
      <c r="H9" s="1524"/>
      <c r="I9" s="1525"/>
      <c r="J9" s="1524"/>
    </row>
    <row r="10" spans="1:10" s="769" customFormat="1" ht="21" customHeight="1" thickBot="1">
      <c r="A10" s="1127"/>
      <c r="B10" s="1128"/>
      <c r="C10" s="1149"/>
      <c r="D10" s="1150"/>
      <c r="E10" s="1528"/>
      <c r="F10" s="1527"/>
      <c r="G10" s="1526"/>
      <c r="H10" s="1527"/>
      <c r="I10" s="1528"/>
      <c r="J10" s="1527"/>
    </row>
    <row r="11" spans="1:10" s="769" customFormat="1" ht="21" customHeight="1" thickBot="1" thickTop="1">
      <c r="A11" s="2532" t="s">
        <v>1078</v>
      </c>
      <c r="B11" s="2533"/>
      <c r="C11" s="1151">
        <f>SUM(C7:C10)</f>
        <v>0</v>
      </c>
      <c r="D11" s="1152">
        <f>SUM(D7:D10)</f>
        <v>0</v>
      </c>
      <c r="E11" s="1326">
        <f>ROUND(C11/1000,0)</f>
        <v>0</v>
      </c>
      <c r="F11" s="1335">
        <f>ROUND(D11/1000,0)</f>
        <v>0</v>
      </c>
      <c r="G11" s="1340"/>
      <c r="H11" s="1341"/>
      <c r="I11" s="1330">
        <f>E11+G11</f>
        <v>0</v>
      </c>
      <c r="J11" s="1327">
        <f>F11+H11</f>
        <v>0</v>
      </c>
    </row>
    <row r="12" spans="1:10" s="769" customFormat="1" ht="21" customHeight="1" hidden="1" thickTop="1">
      <c r="A12" s="1121"/>
      <c r="B12" s="1122"/>
      <c r="C12" s="1145"/>
      <c r="D12" s="1146"/>
      <c r="E12" s="1394"/>
      <c r="F12" s="1393"/>
      <c r="G12" s="1392"/>
      <c r="H12" s="1393"/>
      <c r="I12" s="1392"/>
      <c r="J12" s="1393"/>
    </row>
    <row r="13" spans="1:10" s="769" customFormat="1" ht="21" customHeight="1" thickTop="1">
      <c r="A13" s="1124"/>
      <c r="B13" s="1125"/>
      <c r="C13" s="1147"/>
      <c r="D13" s="1148"/>
      <c r="E13" s="1333"/>
      <c r="F13" s="1323"/>
      <c r="G13" s="1338"/>
      <c r="H13" s="1323"/>
      <c r="I13" s="1338"/>
      <c r="J13" s="1323"/>
    </row>
    <row r="14" spans="1:10" s="769" customFormat="1" ht="21" customHeight="1">
      <c r="A14" s="1124"/>
      <c r="B14" s="1125"/>
      <c r="C14" s="1147"/>
      <c r="D14" s="1148"/>
      <c r="E14" s="1333"/>
      <c r="F14" s="1323"/>
      <c r="G14" s="1338"/>
      <c r="H14" s="1323"/>
      <c r="I14" s="1338"/>
      <c r="J14" s="1323"/>
    </row>
    <row r="15" spans="1:10" s="769" customFormat="1" ht="21" customHeight="1" thickBot="1">
      <c r="A15" s="1127"/>
      <c r="B15" s="1128"/>
      <c r="C15" s="1149"/>
      <c r="D15" s="1150"/>
      <c r="E15" s="1334"/>
      <c r="F15" s="1325"/>
      <c r="G15" s="1339"/>
      <c r="H15" s="1325"/>
      <c r="I15" s="1339"/>
      <c r="J15" s="1325"/>
    </row>
    <row r="16" spans="1:10" s="769" customFormat="1" ht="21" customHeight="1" thickBot="1" thickTop="1">
      <c r="A16" s="2532" t="s">
        <v>1080</v>
      </c>
      <c r="B16" s="2533"/>
      <c r="C16" s="1151">
        <f>SUM(C12:C15)</f>
        <v>0</v>
      </c>
      <c r="D16" s="1152">
        <f>SUM(D12:D15)</f>
        <v>0</v>
      </c>
      <c r="E16" s="1326">
        <f>ROUND(C16/1000,0)</f>
        <v>0</v>
      </c>
      <c r="F16" s="1335">
        <f>ROUND(D16/1000,0)</f>
        <v>0</v>
      </c>
      <c r="G16" s="1340"/>
      <c r="H16" s="1341"/>
      <c r="I16" s="1330">
        <f>E16+G16</f>
        <v>0</v>
      </c>
      <c r="J16" s="1327">
        <f>F16+H16</f>
        <v>0</v>
      </c>
    </row>
    <row r="17" spans="1:10" s="778" customFormat="1" ht="21" customHeight="1" hidden="1" thickTop="1">
      <c r="A17" s="1121"/>
      <c r="B17" s="1153"/>
      <c r="C17" s="1154"/>
      <c r="D17" s="1155"/>
      <c r="E17" s="1394"/>
      <c r="F17" s="1393"/>
      <c r="G17" s="1392"/>
      <c r="H17" s="1393"/>
      <c r="I17" s="1392"/>
      <c r="J17" s="1393"/>
    </row>
    <row r="18" spans="1:10" s="778" customFormat="1" ht="21" customHeight="1" thickTop="1">
      <c r="A18" s="1124"/>
      <c r="B18" s="1156"/>
      <c r="C18" s="1147"/>
      <c r="D18" s="1148"/>
      <c r="E18" s="1333"/>
      <c r="F18" s="1323"/>
      <c r="G18" s="1338"/>
      <c r="H18" s="1323"/>
      <c r="I18" s="1338"/>
      <c r="J18" s="1323"/>
    </row>
    <row r="19" spans="1:10" s="778" customFormat="1" ht="21" customHeight="1">
      <c r="A19" s="1124"/>
      <c r="B19" s="1156"/>
      <c r="C19" s="1147"/>
      <c r="D19" s="1148"/>
      <c r="E19" s="1333"/>
      <c r="F19" s="1323"/>
      <c r="G19" s="1338"/>
      <c r="H19" s="1323"/>
      <c r="I19" s="1338"/>
      <c r="J19" s="1323"/>
    </row>
    <row r="20" spans="1:10" s="778" customFormat="1" ht="21" customHeight="1" thickBot="1">
      <c r="A20" s="1127"/>
      <c r="B20" s="1157"/>
      <c r="C20" s="1158"/>
      <c r="D20" s="1159"/>
      <c r="E20" s="1334"/>
      <c r="F20" s="1325"/>
      <c r="G20" s="1339"/>
      <c r="H20" s="1325"/>
      <c r="I20" s="1339"/>
      <c r="J20" s="1325"/>
    </row>
    <row r="21" spans="1:10" s="778" customFormat="1" ht="21" customHeight="1" thickBot="1" thickTop="1">
      <c r="A21" s="2535" t="s">
        <v>1091</v>
      </c>
      <c r="B21" s="2536"/>
      <c r="C21" s="1151">
        <f>SUM(C17:C20)</f>
        <v>0</v>
      </c>
      <c r="D21" s="1152">
        <f>SUM(D17:D20)</f>
        <v>0</v>
      </c>
      <c r="E21" s="1326">
        <f>ROUND(C21/1000,0)</f>
        <v>0</v>
      </c>
      <c r="F21" s="1335">
        <f>ROUND(D21/1000,0)</f>
        <v>0</v>
      </c>
      <c r="G21" s="1340"/>
      <c r="H21" s="1341"/>
      <c r="I21" s="1330">
        <f>E21+G21</f>
        <v>0</v>
      </c>
      <c r="J21" s="1327">
        <f>F21+H21</f>
        <v>0</v>
      </c>
    </row>
    <row r="22" spans="1:4" s="778" customFormat="1" ht="21" customHeight="1" hidden="1" thickTop="1">
      <c r="A22" s="1121"/>
      <c r="B22" s="1122"/>
      <c r="C22" s="1145"/>
      <c r="D22" s="1146"/>
    </row>
    <row r="23" spans="1:10" s="778" customFormat="1" ht="21" customHeight="1" thickTop="1">
      <c r="A23" s="1124"/>
      <c r="B23" s="1125"/>
      <c r="C23" s="1147"/>
      <c r="D23" s="1148"/>
      <c r="E23" s="1333"/>
      <c r="F23" s="1323"/>
      <c r="G23" s="1338"/>
      <c r="H23" s="1323"/>
      <c r="I23" s="1338"/>
      <c r="J23" s="1323"/>
    </row>
    <row r="24" spans="1:10" s="778" customFormat="1" ht="21" customHeight="1">
      <c r="A24" s="1124"/>
      <c r="B24" s="1125"/>
      <c r="C24" s="1147"/>
      <c r="D24" s="1148"/>
      <c r="E24" s="1333"/>
      <c r="F24" s="1323"/>
      <c r="G24" s="1338"/>
      <c r="H24" s="1323"/>
      <c r="I24" s="1338"/>
      <c r="J24" s="1323"/>
    </row>
    <row r="25" spans="1:10" s="778" customFormat="1" ht="21" customHeight="1" thickBot="1">
      <c r="A25" s="1160"/>
      <c r="B25" s="1161"/>
      <c r="C25" s="1158"/>
      <c r="D25" s="1159"/>
      <c r="E25" s="1334"/>
      <c r="F25" s="1325"/>
      <c r="G25" s="1339"/>
      <c r="H25" s="1325"/>
      <c r="I25" s="1339"/>
      <c r="J25" s="1325"/>
    </row>
    <row r="26" spans="1:10" s="778" customFormat="1" ht="21" customHeight="1" thickBot="1" thickTop="1">
      <c r="A26" s="2537" t="s">
        <v>330</v>
      </c>
      <c r="B26" s="2538"/>
      <c r="C26" s="1162">
        <f>SUM(C22:C25)</f>
        <v>0</v>
      </c>
      <c r="D26" s="1163">
        <f>SUM(D22:D25)</f>
        <v>0</v>
      </c>
      <c r="E26" s="1326">
        <f>ROUND(C26/1000,0)</f>
        <v>0</v>
      </c>
      <c r="F26" s="1335">
        <f>ROUND(D26/1000,0)</f>
        <v>0</v>
      </c>
      <c r="G26" s="1340"/>
      <c r="H26" s="1341"/>
      <c r="I26" s="1330">
        <f>E26+G26</f>
        <v>0</v>
      </c>
      <c r="J26" s="1327">
        <f>F26+H26</f>
        <v>0</v>
      </c>
    </row>
    <row r="27" spans="1:4" s="778" customFormat="1" ht="21" customHeight="1" hidden="1" thickTop="1">
      <c r="A27" s="1164"/>
      <c r="B27" s="1165"/>
      <c r="C27" s="1154"/>
      <c r="D27" s="1155"/>
    </row>
    <row r="28" spans="1:10" s="778" customFormat="1" ht="21" customHeight="1" thickTop="1">
      <c r="A28" s="1124"/>
      <c r="B28" s="1125"/>
      <c r="C28" s="1147"/>
      <c r="D28" s="1148"/>
      <c r="E28" s="1333"/>
      <c r="F28" s="1323"/>
      <c r="G28" s="1338"/>
      <c r="H28" s="1323"/>
      <c r="I28" s="1338"/>
      <c r="J28" s="1323"/>
    </row>
    <row r="29" spans="1:10" s="778" customFormat="1" ht="21" customHeight="1">
      <c r="A29" s="1124"/>
      <c r="B29" s="1125"/>
      <c r="C29" s="1147"/>
      <c r="D29" s="1148"/>
      <c r="E29" s="1333"/>
      <c r="F29" s="1323"/>
      <c r="G29" s="1338"/>
      <c r="H29" s="1323"/>
      <c r="I29" s="1338"/>
      <c r="J29" s="1323"/>
    </row>
    <row r="30" spans="1:10" s="778" customFormat="1" ht="21" customHeight="1" thickBot="1">
      <c r="A30" s="1160"/>
      <c r="B30" s="1161"/>
      <c r="C30" s="1158"/>
      <c r="D30" s="1159"/>
      <c r="E30" s="1334"/>
      <c r="F30" s="1325"/>
      <c r="G30" s="1339"/>
      <c r="H30" s="1325"/>
      <c r="I30" s="1339"/>
      <c r="J30" s="1325"/>
    </row>
    <row r="31" spans="1:10" s="778" customFormat="1" ht="21" customHeight="1" thickBot="1" thickTop="1">
      <c r="A31" s="2539" t="s">
        <v>1086</v>
      </c>
      <c r="B31" s="2540"/>
      <c r="C31" s="1166">
        <f>SUM(C27:C30)</f>
        <v>0</v>
      </c>
      <c r="D31" s="1167">
        <f>SUM(D27:D30)</f>
        <v>0</v>
      </c>
      <c r="E31" s="1326">
        <f>ROUND(C31/1000,0)</f>
        <v>0</v>
      </c>
      <c r="F31" s="1335">
        <f>ROUND(D31/1000,0)</f>
        <v>0</v>
      </c>
      <c r="G31" s="1340"/>
      <c r="H31" s="1341"/>
      <c r="I31" s="1330">
        <f>E31+G31</f>
        <v>0</v>
      </c>
      <c r="J31" s="1327">
        <f>F31+H31</f>
        <v>0</v>
      </c>
    </row>
    <row r="32" spans="1:10" s="778" customFormat="1" ht="21" customHeight="1" thickBot="1" thickTop="1">
      <c r="A32" s="2532" t="s">
        <v>331</v>
      </c>
      <c r="B32" s="2541"/>
      <c r="C32" s="1151">
        <f>SUM(C26,C31)</f>
        <v>0</v>
      </c>
      <c r="D32" s="1152">
        <f>SUM(D26,D31)</f>
        <v>0</v>
      </c>
      <c r="E32" s="1870">
        <f>SUM(E26,E31)</f>
        <v>0</v>
      </c>
      <c r="F32" s="1152">
        <f>SUM(F26,F31)</f>
        <v>0</v>
      </c>
      <c r="G32" s="1151">
        <v>0</v>
      </c>
      <c r="H32" s="1152">
        <v>0</v>
      </c>
      <c r="I32" s="1151">
        <f>SUM(I26,I31)</f>
        <v>0</v>
      </c>
      <c r="J32" s="1152">
        <f>SUM(J26,J31)</f>
        <v>0</v>
      </c>
    </row>
    <row r="33" spans="1:9" s="1172" customFormat="1" ht="21" customHeight="1" hidden="1" thickTop="1">
      <c r="A33" s="1168"/>
      <c r="B33" s="1169"/>
      <c r="C33" s="1170"/>
      <c r="D33" s="1171"/>
      <c r="F33" s="1173"/>
      <c r="G33" s="1174"/>
      <c r="H33" s="1174"/>
      <c r="I33" s="1174"/>
    </row>
    <row r="34" spans="1:10" s="1172" customFormat="1" ht="21" customHeight="1" thickTop="1">
      <c r="A34" s="1175"/>
      <c r="B34" s="1176"/>
      <c r="C34" s="1177"/>
      <c r="D34" s="1178"/>
      <c r="E34" s="1332"/>
      <c r="F34" s="1321"/>
      <c r="G34" s="1337"/>
      <c r="H34" s="1321"/>
      <c r="I34" s="1337"/>
      <c r="J34" s="1321"/>
    </row>
    <row r="35" spans="1:10" s="1172" customFormat="1" ht="21" customHeight="1">
      <c r="A35" s="1175"/>
      <c r="B35" s="1176"/>
      <c r="C35" s="1177"/>
      <c r="D35" s="1178"/>
      <c r="E35" s="1333"/>
      <c r="F35" s="1323"/>
      <c r="G35" s="1338"/>
      <c r="H35" s="1323"/>
      <c r="I35" s="1338"/>
      <c r="J35" s="1323"/>
    </row>
    <row r="36" spans="1:10" s="1172" customFormat="1" ht="21" customHeight="1" thickBot="1">
      <c r="A36" s="1179"/>
      <c r="B36" s="1180"/>
      <c r="C36" s="1181"/>
      <c r="D36" s="1182"/>
      <c r="E36" s="1334"/>
      <c r="F36" s="1325"/>
      <c r="G36" s="1339"/>
      <c r="H36" s="1325"/>
      <c r="I36" s="1339"/>
      <c r="J36" s="1325"/>
    </row>
    <row r="37" spans="1:10" s="1172" customFormat="1" ht="21" customHeight="1" thickBot="1" thickTop="1">
      <c r="A37" s="1183">
        <v>51</v>
      </c>
      <c r="B37" s="1184" t="s">
        <v>90</v>
      </c>
      <c r="C37" s="1162">
        <f>SUM(C33:C36)</f>
        <v>0</v>
      </c>
      <c r="D37" s="1163">
        <f>SUM(D33:D36)</f>
        <v>0</v>
      </c>
      <c r="E37" s="1326">
        <f>ROUND(C37/1000,0)</f>
        <v>0</v>
      </c>
      <c r="F37" s="1335">
        <f>ROUND(D37/1000,0)</f>
        <v>0</v>
      </c>
      <c r="G37" s="1340"/>
      <c r="H37" s="1341"/>
      <c r="I37" s="1330">
        <f>E37+G37</f>
        <v>0</v>
      </c>
      <c r="J37" s="1327">
        <f>F37+H37</f>
        <v>0</v>
      </c>
    </row>
    <row r="38" spans="1:9" s="1172" customFormat="1" ht="21" customHeight="1" hidden="1" thickTop="1">
      <c r="A38" s="1185"/>
      <c r="B38" s="1186"/>
      <c r="C38" s="1187"/>
      <c r="D38" s="1188"/>
      <c r="F38" s="1173"/>
      <c r="G38" s="1174"/>
      <c r="H38" s="1174"/>
      <c r="I38" s="1174"/>
    </row>
    <row r="39" spans="1:10" s="1172" customFormat="1" ht="21" customHeight="1" thickTop="1">
      <c r="A39" s="1189"/>
      <c r="B39" s="1190"/>
      <c r="C39" s="1177"/>
      <c r="D39" s="1178"/>
      <c r="E39" s="1333"/>
      <c r="F39" s="1323"/>
      <c r="G39" s="1338"/>
      <c r="H39" s="1323"/>
      <c r="I39" s="1338"/>
      <c r="J39" s="1323"/>
    </row>
    <row r="40" spans="1:10" s="1172" customFormat="1" ht="21" customHeight="1">
      <c r="A40" s="1189"/>
      <c r="B40" s="1190"/>
      <c r="C40" s="1177"/>
      <c r="D40" s="1178"/>
      <c r="E40" s="1333"/>
      <c r="F40" s="1323"/>
      <c r="G40" s="1338"/>
      <c r="H40" s="1323"/>
      <c r="I40" s="1338"/>
      <c r="J40" s="1323"/>
    </row>
    <row r="41" spans="1:10" s="1172" customFormat="1" ht="21" customHeight="1" thickBot="1">
      <c r="A41" s="1191"/>
      <c r="B41" s="1192"/>
      <c r="C41" s="1181"/>
      <c r="D41" s="1182"/>
      <c r="E41" s="1334"/>
      <c r="F41" s="1325"/>
      <c r="G41" s="1339"/>
      <c r="H41" s="1325"/>
      <c r="I41" s="1339"/>
      <c r="J41" s="1325"/>
    </row>
    <row r="42" spans="1:10" s="1172" customFormat="1" ht="21" customHeight="1" thickBot="1" thickTop="1">
      <c r="A42" s="1183">
        <v>52</v>
      </c>
      <c r="B42" s="1184" t="s">
        <v>91</v>
      </c>
      <c r="C42" s="1162">
        <f>SUM(C38:C41)</f>
        <v>0</v>
      </c>
      <c r="D42" s="1163">
        <f>SUM(D38:D41)</f>
        <v>0</v>
      </c>
      <c r="E42" s="1326">
        <f>ROUND(C42/1000,0)</f>
        <v>0</v>
      </c>
      <c r="F42" s="1335">
        <f>ROUND(D42/1000,0)</f>
        <v>0</v>
      </c>
      <c r="G42" s="1340"/>
      <c r="H42" s="1341"/>
      <c r="I42" s="1330">
        <f>E42+G42</f>
        <v>0</v>
      </c>
      <c r="J42" s="1327">
        <f>F42+H42</f>
        <v>0</v>
      </c>
    </row>
    <row r="43" spans="1:9" s="1172" customFormat="1" ht="21" customHeight="1" hidden="1" thickTop="1">
      <c r="A43" s="1185"/>
      <c r="B43" s="1186"/>
      <c r="C43" s="1193"/>
      <c r="D43" s="1194"/>
      <c r="F43" s="1173"/>
      <c r="G43" s="1174"/>
      <c r="H43" s="1174"/>
      <c r="I43" s="1174"/>
    </row>
    <row r="44" spans="1:10" s="1172" customFormat="1" ht="21" customHeight="1" thickTop="1">
      <c r="A44" s="1195"/>
      <c r="B44" s="1196"/>
      <c r="C44" s="1177"/>
      <c r="D44" s="1178"/>
      <c r="E44" s="1333"/>
      <c r="F44" s="1323"/>
      <c r="G44" s="1338"/>
      <c r="H44" s="1323"/>
      <c r="I44" s="1338"/>
      <c r="J44" s="1323"/>
    </row>
    <row r="45" spans="1:10" s="1172" customFormat="1" ht="21" customHeight="1">
      <c r="A45" s="1195"/>
      <c r="B45" s="1196"/>
      <c r="C45" s="1177"/>
      <c r="D45" s="1178"/>
      <c r="E45" s="1333"/>
      <c r="F45" s="1323"/>
      <c r="G45" s="1338"/>
      <c r="H45" s="1323"/>
      <c r="I45" s="1338"/>
      <c r="J45" s="1323"/>
    </row>
    <row r="46" spans="1:10" s="1172" customFormat="1" ht="21" customHeight="1" thickBot="1">
      <c r="A46" s="1197"/>
      <c r="B46" s="1198"/>
      <c r="C46" s="1181"/>
      <c r="D46" s="1182"/>
      <c r="E46" s="1334"/>
      <c r="F46" s="1325"/>
      <c r="G46" s="1339"/>
      <c r="H46" s="1325"/>
      <c r="I46" s="1339"/>
      <c r="J46" s="1325"/>
    </row>
    <row r="47" spans="1:10" s="1172" customFormat="1" ht="21" customHeight="1" thickBot="1" thickTop="1">
      <c r="A47" s="1199">
        <v>53</v>
      </c>
      <c r="B47" s="1200" t="s">
        <v>92</v>
      </c>
      <c r="C47" s="1162">
        <f>SUM(C43:C46)</f>
        <v>0</v>
      </c>
      <c r="D47" s="1163">
        <f>SUM(D43:D46)</f>
        <v>0</v>
      </c>
      <c r="E47" s="1326">
        <f>ROUND(C47/1000,0)</f>
        <v>0</v>
      </c>
      <c r="F47" s="1335">
        <f>ROUND(D47/1000,0)</f>
        <v>0</v>
      </c>
      <c r="G47" s="1340"/>
      <c r="H47" s="1341"/>
      <c r="I47" s="1330">
        <f>E47+G47</f>
        <v>0</v>
      </c>
      <c r="J47" s="1327">
        <f>F47+H47</f>
        <v>0</v>
      </c>
    </row>
    <row r="48" spans="1:9" s="1172" customFormat="1" ht="21" customHeight="1" hidden="1" thickTop="1">
      <c r="A48" s="1201"/>
      <c r="B48" s="1202"/>
      <c r="C48" s="1193"/>
      <c r="D48" s="1194"/>
      <c r="F48" s="1173"/>
      <c r="G48" s="1174"/>
      <c r="H48" s="1174"/>
      <c r="I48" s="1174"/>
    </row>
    <row r="49" spans="1:10" s="1172" customFormat="1" ht="21" customHeight="1" thickTop="1">
      <c r="A49" s="1203"/>
      <c r="B49" s="1204"/>
      <c r="C49" s="1177"/>
      <c r="D49" s="1178"/>
      <c r="E49" s="1333"/>
      <c r="F49" s="1323"/>
      <c r="G49" s="1338"/>
      <c r="H49" s="1323"/>
      <c r="I49" s="1338"/>
      <c r="J49" s="1323"/>
    </row>
    <row r="50" spans="1:10" s="1172" customFormat="1" ht="21" customHeight="1">
      <c r="A50" s="1203"/>
      <c r="B50" s="1204"/>
      <c r="C50" s="1177"/>
      <c r="D50" s="1178"/>
      <c r="E50" s="1333"/>
      <c r="F50" s="1323"/>
      <c r="G50" s="1338"/>
      <c r="H50" s="1323"/>
      <c r="I50" s="1338"/>
      <c r="J50" s="1323"/>
    </row>
    <row r="51" spans="1:10" s="1172" customFormat="1" ht="21" customHeight="1" thickBot="1">
      <c r="A51" s="1205"/>
      <c r="B51" s="1206"/>
      <c r="C51" s="1207"/>
      <c r="D51" s="1208"/>
      <c r="E51" s="1334"/>
      <c r="F51" s="1325"/>
      <c r="G51" s="1339"/>
      <c r="H51" s="1325"/>
      <c r="I51" s="1339"/>
      <c r="J51" s="1325"/>
    </row>
    <row r="52" spans="1:10" s="1172" customFormat="1" ht="21" customHeight="1" thickBot="1" thickTop="1">
      <c r="A52" s="1183">
        <v>814</v>
      </c>
      <c r="B52" s="1209" t="s">
        <v>1101</v>
      </c>
      <c r="C52" s="1162">
        <f>SUM(C48:C51)</f>
        <v>0</v>
      </c>
      <c r="D52" s="1163">
        <f>SUM(D48:D51)</f>
        <v>0</v>
      </c>
      <c r="E52" s="1326">
        <f>ROUND(C52/1000,0)</f>
        <v>0</v>
      </c>
      <c r="F52" s="1335">
        <f>ROUND(D52/1000,0)</f>
        <v>0</v>
      </c>
      <c r="G52" s="1340"/>
      <c r="H52" s="1341"/>
      <c r="I52" s="1330">
        <f>E52+G52</f>
        <v>0</v>
      </c>
      <c r="J52" s="1327">
        <f>F52+H52</f>
        <v>0</v>
      </c>
    </row>
    <row r="53" spans="1:9" s="1172" customFormat="1" ht="21" customHeight="1" hidden="1" thickTop="1">
      <c r="A53" s="1210"/>
      <c r="B53" s="1211"/>
      <c r="C53" s="1193"/>
      <c r="D53" s="1194"/>
      <c r="F53" s="1173"/>
      <c r="G53" s="1174"/>
      <c r="H53" s="1174"/>
      <c r="I53" s="1174"/>
    </row>
    <row r="54" spans="1:10" s="1172" customFormat="1" ht="21" customHeight="1" thickTop="1">
      <c r="A54" s="1212"/>
      <c r="B54" s="1213"/>
      <c r="C54" s="1177"/>
      <c r="D54" s="1178"/>
      <c r="E54" s="1333"/>
      <c r="F54" s="1323"/>
      <c r="G54" s="1338"/>
      <c r="H54" s="1323"/>
      <c r="I54" s="1338"/>
      <c r="J54" s="1323"/>
    </row>
    <row r="55" spans="1:10" s="1172" customFormat="1" ht="21" customHeight="1">
      <c r="A55" s="1212"/>
      <c r="B55" s="1213"/>
      <c r="C55" s="1177"/>
      <c r="D55" s="1178"/>
      <c r="E55" s="1333"/>
      <c r="F55" s="1323"/>
      <c r="G55" s="1338"/>
      <c r="H55" s="1323"/>
      <c r="I55" s="1338"/>
      <c r="J55" s="1323"/>
    </row>
    <row r="56" spans="1:10" s="1172" customFormat="1" ht="21" customHeight="1" thickBot="1">
      <c r="A56" s="1214"/>
      <c r="B56" s="1215"/>
      <c r="C56" s="1207"/>
      <c r="D56" s="1208"/>
      <c r="E56" s="1334"/>
      <c r="F56" s="1325"/>
      <c r="G56" s="1339"/>
      <c r="H56" s="1325"/>
      <c r="I56" s="1339"/>
      <c r="J56" s="1325"/>
    </row>
    <row r="57" spans="1:10" s="1172" customFormat="1" ht="21" customHeight="1" thickBot="1" thickTop="1">
      <c r="A57" s="1216">
        <v>815</v>
      </c>
      <c r="B57" s="1217" t="s">
        <v>1106</v>
      </c>
      <c r="C57" s="1166">
        <f>SUM(C53:C56)</f>
        <v>0</v>
      </c>
      <c r="D57" s="1167">
        <f>SUM(D53:D56)</f>
        <v>0</v>
      </c>
      <c r="E57" s="1326">
        <f>ROUND(C57/1000,0)</f>
        <v>0</v>
      </c>
      <c r="F57" s="1335">
        <f>ROUND(D57/1000,0)</f>
        <v>0</v>
      </c>
      <c r="G57" s="1340"/>
      <c r="H57" s="1341"/>
      <c r="I57" s="1330">
        <f>E57+G57</f>
        <v>0</v>
      </c>
      <c r="J57" s="1327">
        <f>F57+H57</f>
        <v>0</v>
      </c>
    </row>
    <row r="58" spans="1:10" s="1172" customFormat="1" ht="21" customHeight="1" thickBot="1" thickTop="1">
      <c r="A58" s="2532" t="s">
        <v>1263</v>
      </c>
      <c r="B58" s="2533"/>
      <c r="C58" s="1151">
        <f>SUM(C37,C42,C47,C52,C57)</f>
        <v>0</v>
      </c>
      <c r="D58" s="1152">
        <f>SUM(D37,D42,D47,D52,D57)</f>
        <v>0</v>
      </c>
      <c r="E58" s="1151">
        <f aca="true" t="shared" si="0" ref="E58:J58">SUM(E37,E42,E47,E52,E57)</f>
        <v>0</v>
      </c>
      <c r="F58" s="1152">
        <f t="shared" si="0"/>
        <v>0</v>
      </c>
      <c r="G58" s="1151">
        <f t="shared" si="0"/>
        <v>0</v>
      </c>
      <c r="H58" s="1152">
        <f t="shared" si="0"/>
        <v>0</v>
      </c>
      <c r="I58" s="1151">
        <f t="shared" si="0"/>
        <v>0</v>
      </c>
      <c r="J58" s="1152">
        <f t="shared" si="0"/>
        <v>0</v>
      </c>
    </row>
    <row r="59" spans="1:9" s="1172" customFormat="1" ht="21" customHeight="1" hidden="1" thickTop="1">
      <c r="A59" s="1875"/>
      <c r="B59" s="1876"/>
      <c r="C59" s="1877"/>
      <c r="D59" s="1878"/>
      <c r="F59" s="1173"/>
      <c r="G59" s="1174"/>
      <c r="H59" s="1174"/>
      <c r="I59" s="1174"/>
    </row>
    <row r="60" spans="1:10" s="1172" customFormat="1" ht="21" customHeight="1" thickTop="1">
      <c r="A60" s="1168"/>
      <c r="B60" s="1218"/>
      <c r="C60" s="1219"/>
      <c r="D60" s="1220"/>
      <c r="E60" s="1332"/>
      <c r="F60" s="1321"/>
      <c r="G60" s="1337"/>
      <c r="H60" s="1321"/>
      <c r="I60" s="1337"/>
      <c r="J60" s="1321"/>
    </row>
    <row r="61" spans="1:10" s="1172" customFormat="1" ht="21" customHeight="1">
      <c r="A61" s="1175"/>
      <c r="B61" s="1221"/>
      <c r="C61" s="1222"/>
      <c r="D61" s="1223"/>
      <c r="E61" s="1333"/>
      <c r="F61" s="1323"/>
      <c r="G61" s="1338"/>
      <c r="H61" s="1323"/>
      <c r="I61" s="1338"/>
      <c r="J61" s="1323"/>
    </row>
    <row r="62" spans="1:10" s="1172" customFormat="1" ht="21" customHeight="1" thickBot="1">
      <c r="A62" s="1179"/>
      <c r="B62" s="1224"/>
      <c r="C62" s="1225"/>
      <c r="D62" s="1879"/>
      <c r="E62" s="1334"/>
      <c r="F62" s="1325"/>
      <c r="G62" s="1339"/>
      <c r="H62" s="1325"/>
      <c r="I62" s="1339"/>
      <c r="J62" s="1325"/>
    </row>
    <row r="63" spans="1:10" s="1172" customFormat="1" ht="21" customHeight="1" thickBot="1" thickTop="1">
      <c r="A63" s="1183">
        <v>54</v>
      </c>
      <c r="B63" s="1200" t="s">
        <v>1110</v>
      </c>
      <c r="C63" s="1162">
        <f>SUM(C59:C62)</f>
        <v>0</v>
      </c>
      <c r="D63" s="1163">
        <f>SUM(D59:D62)</f>
        <v>0</v>
      </c>
      <c r="E63" s="1326">
        <f>ROUND(C63/1000,0)</f>
        <v>0</v>
      </c>
      <c r="F63" s="1335">
        <f>ROUND(D63/1000,0)</f>
        <v>0</v>
      </c>
      <c r="G63" s="1340"/>
      <c r="H63" s="1341"/>
      <c r="I63" s="1330">
        <f>E63+G63</f>
        <v>0</v>
      </c>
      <c r="J63" s="1327">
        <f>F63+H63</f>
        <v>0</v>
      </c>
    </row>
    <row r="64" spans="1:9" s="1172" customFormat="1" ht="25.5" customHeight="1" hidden="1" thickTop="1">
      <c r="A64" s="1226"/>
      <c r="B64" s="1227"/>
      <c r="C64" s="1193"/>
      <c r="D64" s="1194"/>
      <c r="F64" s="1173"/>
      <c r="G64" s="1174"/>
      <c r="H64" s="1174"/>
      <c r="I64" s="1174"/>
    </row>
    <row r="65" spans="1:10" s="1172" customFormat="1" ht="27" customHeight="1" thickTop="1">
      <c r="A65" s="1175"/>
      <c r="B65" s="1405"/>
      <c r="C65" s="1177"/>
      <c r="D65" s="1178"/>
      <c r="E65" s="1333"/>
      <c r="F65" s="1323"/>
      <c r="G65" s="1338"/>
      <c r="H65" s="1323"/>
      <c r="I65" s="1338"/>
      <c r="J65" s="1323"/>
    </row>
    <row r="66" spans="1:10" s="1172" customFormat="1" ht="27" customHeight="1">
      <c r="A66" s="1175"/>
      <c r="B66" s="1405"/>
      <c r="C66" s="1177"/>
      <c r="D66" s="1178"/>
      <c r="E66" s="1333"/>
      <c r="F66" s="1323"/>
      <c r="G66" s="1338"/>
      <c r="H66" s="1323"/>
      <c r="I66" s="1338"/>
      <c r="J66" s="1323"/>
    </row>
    <row r="67" spans="1:10" s="1172" customFormat="1" ht="21" customHeight="1" thickBot="1">
      <c r="A67" s="1179"/>
      <c r="B67" s="1180"/>
      <c r="C67" s="1181"/>
      <c r="D67" s="1182"/>
      <c r="E67" s="1334"/>
      <c r="F67" s="1325"/>
      <c r="G67" s="1339"/>
      <c r="H67" s="1325"/>
      <c r="I67" s="1339"/>
      <c r="J67" s="1325"/>
    </row>
    <row r="68" spans="1:10" s="1172" customFormat="1" ht="21" customHeight="1" thickBot="1" thickTop="1">
      <c r="A68" s="1183">
        <v>55</v>
      </c>
      <c r="B68" s="1209" t="s">
        <v>1112</v>
      </c>
      <c r="C68" s="1162">
        <f>SUM(C64:C67)</f>
        <v>0</v>
      </c>
      <c r="D68" s="1163">
        <f>SUM(D64:D67)</f>
        <v>0</v>
      </c>
      <c r="E68" s="1326">
        <f>ROUND(C68/1000,0)</f>
        <v>0</v>
      </c>
      <c r="F68" s="1335">
        <f>ROUND(D68/1000,0)</f>
        <v>0</v>
      </c>
      <c r="G68" s="1340"/>
      <c r="H68" s="1341"/>
      <c r="I68" s="1330">
        <f>E68+G68</f>
        <v>0</v>
      </c>
      <c r="J68" s="1327">
        <f>F68+H68</f>
        <v>0</v>
      </c>
    </row>
    <row r="69" spans="1:9" s="1172" customFormat="1" ht="21" customHeight="1" hidden="1" thickTop="1">
      <c r="A69" s="1226"/>
      <c r="B69" s="1229"/>
      <c r="C69" s="1230"/>
      <c r="D69" s="1231"/>
      <c r="F69" s="1173"/>
      <c r="G69" s="1174"/>
      <c r="H69" s="1174"/>
      <c r="I69" s="1174"/>
    </row>
    <row r="70" spans="1:10" s="1172" customFormat="1" ht="21" customHeight="1" thickTop="1">
      <c r="A70" s="1175"/>
      <c r="B70" s="1221"/>
      <c r="C70" s="1222"/>
      <c r="D70" s="1223"/>
      <c r="E70" s="1333"/>
      <c r="F70" s="1323"/>
      <c r="G70" s="1338"/>
      <c r="H70" s="1323"/>
      <c r="I70" s="1338"/>
      <c r="J70" s="1323"/>
    </row>
    <row r="71" spans="1:10" s="1172" customFormat="1" ht="21" customHeight="1">
      <c r="A71" s="1175"/>
      <c r="B71" s="1221"/>
      <c r="C71" s="1222"/>
      <c r="D71" s="1223"/>
      <c r="E71" s="1333"/>
      <c r="F71" s="1323"/>
      <c r="G71" s="1338"/>
      <c r="H71" s="1323"/>
      <c r="I71" s="1338"/>
      <c r="J71" s="1323"/>
    </row>
    <row r="72" spans="1:10" s="1172" customFormat="1" ht="21" customHeight="1" thickBot="1">
      <c r="A72" s="1232"/>
      <c r="B72" s="1233"/>
      <c r="C72" s="1234"/>
      <c r="D72" s="1235"/>
      <c r="E72" s="1334"/>
      <c r="F72" s="1325"/>
      <c r="G72" s="1339"/>
      <c r="H72" s="1325"/>
      <c r="I72" s="1339"/>
      <c r="J72" s="1325"/>
    </row>
    <row r="73" spans="1:10" s="1172" customFormat="1" ht="21" customHeight="1" thickBot="1" thickTop="1">
      <c r="A73" s="1216">
        <v>56</v>
      </c>
      <c r="B73" s="1217" t="s">
        <v>1114</v>
      </c>
      <c r="C73" s="1166">
        <f>SUM(C69:C72)</f>
        <v>0</v>
      </c>
      <c r="D73" s="1167">
        <f>SUM(D69:D72)</f>
        <v>0</v>
      </c>
      <c r="E73" s="1326">
        <f>ROUND(C73/1000,0)</f>
        <v>0</v>
      </c>
      <c r="F73" s="1335">
        <f>ROUND(D73/1000,0)</f>
        <v>0</v>
      </c>
      <c r="G73" s="1340"/>
      <c r="H73" s="1341"/>
      <c r="I73" s="1330">
        <f>E73+G73</f>
        <v>0</v>
      </c>
      <c r="J73" s="1327">
        <f>F73+H73</f>
        <v>0</v>
      </c>
    </row>
    <row r="74" spans="1:10" s="1172" customFormat="1" ht="21" customHeight="1" thickBot="1" thickTop="1">
      <c r="A74" s="2532" t="s">
        <v>1264</v>
      </c>
      <c r="B74" s="2533"/>
      <c r="C74" s="1151">
        <f aca="true" t="shared" si="1" ref="C74:J74">SUM(C63,C68,C73)</f>
        <v>0</v>
      </c>
      <c r="D74" s="1152">
        <f t="shared" si="1"/>
        <v>0</v>
      </c>
      <c r="E74" s="1870">
        <f t="shared" si="1"/>
        <v>0</v>
      </c>
      <c r="F74" s="1152">
        <f t="shared" si="1"/>
        <v>0</v>
      </c>
      <c r="G74" s="1151">
        <f t="shared" si="1"/>
        <v>0</v>
      </c>
      <c r="H74" s="1152">
        <f t="shared" si="1"/>
        <v>0</v>
      </c>
      <c r="I74" s="1151">
        <f t="shared" si="1"/>
        <v>0</v>
      </c>
      <c r="J74" s="1152">
        <f t="shared" si="1"/>
        <v>0</v>
      </c>
    </row>
    <row r="75" spans="1:9" s="1172" customFormat="1" ht="21" customHeight="1" hidden="1" thickTop="1">
      <c r="A75" s="1236"/>
      <c r="B75" s="1237"/>
      <c r="C75" s="1170"/>
      <c r="D75" s="1171"/>
      <c r="F75" s="1173"/>
      <c r="G75" s="1174"/>
      <c r="H75" s="1174"/>
      <c r="I75" s="1174"/>
    </row>
    <row r="76" spans="1:10" s="1172" customFormat="1" ht="21" customHeight="1" thickTop="1">
      <c r="A76" s="1238"/>
      <c r="B76" s="1213"/>
      <c r="C76" s="1177"/>
      <c r="D76" s="1178"/>
      <c r="E76" s="1320"/>
      <c r="F76" s="1321"/>
      <c r="G76" s="1332"/>
      <c r="H76" s="1321"/>
      <c r="I76" s="1337"/>
      <c r="J76" s="1321"/>
    </row>
    <row r="77" spans="1:10" s="1172" customFormat="1" ht="21" customHeight="1">
      <c r="A77" s="1238"/>
      <c r="B77" s="1213"/>
      <c r="C77" s="1177"/>
      <c r="D77" s="1178"/>
      <c r="E77" s="1322"/>
      <c r="F77" s="1323"/>
      <c r="G77" s="1333"/>
      <c r="H77" s="1323"/>
      <c r="I77" s="1338"/>
      <c r="J77" s="1323"/>
    </row>
    <row r="78" spans="1:10" s="1172" customFormat="1" ht="21" customHeight="1" thickBot="1">
      <c r="A78" s="1239"/>
      <c r="B78" s="1240"/>
      <c r="C78" s="1241"/>
      <c r="D78" s="1242"/>
      <c r="E78" s="1324"/>
      <c r="F78" s="1325"/>
      <c r="G78" s="1334"/>
      <c r="H78" s="1325"/>
      <c r="I78" s="1339"/>
      <c r="J78" s="1325"/>
    </row>
    <row r="79" spans="1:10" s="1172" customFormat="1" ht="21" customHeight="1" thickBot="1" thickTop="1">
      <c r="A79" s="2532" t="s">
        <v>1119</v>
      </c>
      <c r="B79" s="2533"/>
      <c r="C79" s="1151">
        <f>SUM(C75:C78)</f>
        <v>0</v>
      </c>
      <c r="D79" s="1152">
        <f>SUM(D75:D78)</f>
        <v>0</v>
      </c>
      <c r="E79" s="1881">
        <f>ROUND(C79/1000,0)</f>
        <v>0</v>
      </c>
      <c r="F79" s="1327">
        <f>ROUND(D79/1000,0)</f>
        <v>0</v>
      </c>
      <c r="G79" s="1579"/>
      <c r="H79" s="1580"/>
      <c r="I79" s="1330">
        <f>E79+G79</f>
        <v>0</v>
      </c>
      <c r="J79" s="1327">
        <f>F79+H79</f>
        <v>0</v>
      </c>
    </row>
    <row r="80" spans="1:9" s="1172" customFormat="1" ht="21" customHeight="1" hidden="1" thickTop="1">
      <c r="A80" s="1236"/>
      <c r="B80" s="1237"/>
      <c r="C80" s="1170"/>
      <c r="D80" s="1171"/>
      <c r="E80" s="1882"/>
      <c r="F80" s="1883"/>
      <c r="G80" s="1174"/>
      <c r="H80" s="1174"/>
      <c r="I80" s="1174"/>
    </row>
    <row r="81" spans="1:10" s="1172" customFormat="1" ht="21" customHeight="1" thickTop="1">
      <c r="A81" s="1238"/>
      <c r="B81" s="1213"/>
      <c r="C81" s="1177"/>
      <c r="D81" s="1178"/>
      <c r="E81" s="1320"/>
      <c r="F81" s="1321"/>
      <c r="G81" s="1333"/>
      <c r="H81" s="1323"/>
      <c r="I81" s="1338"/>
      <c r="J81" s="1323"/>
    </row>
    <row r="82" spans="1:10" s="1172" customFormat="1" ht="21" customHeight="1">
      <c r="A82" s="1238"/>
      <c r="B82" s="1213"/>
      <c r="C82" s="1177"/>
      <c r="D82" s="1178"/>
      <c r="E82" s="1322"/>
      <c r="F82" s="1323"/>
      <c r="G82" s="1333"/>
      <c r="H82" s="1323"/>
      <c r="I82" s="1338"/>
      <c r="J82" s="1323"/>
    </row>
    <row r="83" spans="1:10" s="1243" customFormat="1" ht="21" customHeight="1" thickBot="1">
      <c r="A83" s="1239"/>
      <c r="B83" s="1240"/>
      <c r="C83" s="1241"/>
      <c r="D83" s="1242"/>
      <c r="E83" s="1324"/>
      <c r="F83" s="1325"/>
      <c r="G83" s="1334"/>
      <c r="H83" s="1325"/>
      <c r="I83" s="1339"/>
      <c r="J83" s="1325"/>
    </row>
    <row r="84" spans="1:10" s="1243" customFormat="1" ht="21" customHeight="1" thickBot="1" thickTop="1">
      <c r="A84" s="2535" t="s">
        <v>1122</v>
      </c>
      <c r="B84" s="2542"/>
      <c r="C84" s="1151">
        <f>SUM(C80:C83)</f>
        <v>0</v>
      </c>
      <c r="D84" s="1152">
        <f>SUM(D80:D83)</f>
        <v>0</v>
      </c>
      <c r="E84" s="1881">
        <f>ROUND(C84/1000,0)</f>
        <v>0</v>
      </c>
      <c r="F84" s="1327">
        <f>ROUND(D84/1000,0)</f>
        <v>0</v>
      </c>
      <c r="G84" s="1579"/>
      <c r="H84" s="1580"/>
      <c r="I84" s="1330">
        <f>E84+G84</f>
        <v>0</v>
      </c>
      <c r="J84" s="1327">
        <f>F84+H84</f>
        <v>0</v>
      </c>
    </row>
    <row r="85" s="1132" customFormat="1" ht="12.75" thickBot="1" thickTop="1"/>
    <row r="86" spans="1:10" s="1243" customFormat="1" ht="21" customHeight="1" thickBot="1" thickTop="1">
      <c r="A86" s="2535" t="s">
        <v>1497</v>
      </c>
      <c r="B86" s="2542"/>
      <c r="C86" s="1151">
        <f aca="true" t="shared" si="2" ref="C86:H86">SUM(C11,C16,C21,C32)-SUM(C58,C74,C79,C84)</f>
        <v>0</v>
      </c>
      <c r="D86" s="1152">
        <f t="shared" si="2"/>
        <v>0</v>
      </c>
      <c r="E86" s="1530">
        <f t="shared" si="2"/>
        <v>0</v>
      </c>
      <c r="F86" s="1530">
        <f t="shared" si="2"/>
        <v>0</v>
      </c>
      <c r="G86" s="1530">
        <f t="shared" si="2"/>
        <v>0</v>
      </c>
      <c r="H86" s="1530">
        <f t="shared" si="2"/>
        <v>0</v>
      </c>
      <c r="I86" s="1342">
        <f>ROUND(C86/1000,0)</f>
        <v>0</v>
      </c>
      <c r="J86" s="1343">
        <f>ROUND(D86/1000,0)</f>
        <v>0</v>
      </c>
    </row>
    <row r="87" spans="5:10" s="1132" customFormat="1" ht="16.5" thickBot="1" thickTop="1">
      <c r="E87" s="388"/>
      <c r="F87" s="388"/>
      <c r="G87" s="388"/>
      <c r="H87" s="388"/>
      <c r="I87" s="1345" t="str">
        <f>IF(I86-G86-E86=0,"OK",I86-G86-E86)</f>
        <v>OK</v>
      </c>
      <c r="J87" s="1345" t="str">
        <f>IF(J86-H86-F86=0,"OK",J86-H86-F86)</f>
        <v>OK</v>
      </c>
    </row>
  </sheetData>
  <mergeCells count="16">
    <mergeCell ref="A84:B84"/>
    <mergeCell ref="A86:B86"/>
    <mergeCell ref="A58:B58"/>
    <mergeCell ref="A74:B74"/>
    <mergeCell ref="A26:B26"/>
    <mergeCell ref="A31:B31"/>
    <mergeCell ref="A32:B32"/>
    <mergeCell ref="A79:B79"/>
    <mergeCell ref="A16:B16"/>
    <mergeCell ref="A5:B6"/>
    <mergeCell ref="A11:B11"/>
    <mergeCell ref="A21:B21"/>
    <mergeCell ref="E5:F5"/>
    <mergeCell ref="G5:H5"/>
    <mergeCell ref="I5:J5"/>
    <mergeCell ref="C5:D5"/>
  </mergeCells>
  <printOptions horizontalCentered="1"/>
  <pageMargins left="0.7874015748031497" right="0.7874015748031497" top="0.5905511811023623" bottom="1.18" header="0.3937007874015748" footer="0.3937007874015748"/>
  <pageSetup horizontalDpi="600" verticalDpi="600" orientation="portrait" paperSize="9" r:id="rId3"/>
  <headerFooter alignWithMargins="0">
    <oddFooter>&amp;L&amp;U                                                &amp;U
        vállalkozás vezetője
             (képviselője)&amp;C&amp;P/&amp;N&amp;R&amp;A</oddFooter>
  </headerFooter>
  <legacyDrawing r:id="rId2"/>
</worksheet>
</file>

<file path=xl/worksheets/sheet62.xml><?xml version="1.0" encoding="utf-8"?>
<worksheet xmlns="http://schemas.openxmlformats.org/spreadsheetml/2006/main" xmlns:r="http://schemas.openxmlformats.org/officeDocument/2006/relationships">
  <sheetPr codeName="Munka55"/>
  <dimension ref="A1:J61"/>
  <sheetViews>
    <sheetView workbookViewId="0" topLeftCell="A1">
      <pane ySplit="6" topLeftCell="BM40" activePane="bottomLeft" state="frozen"/>
      <selection pane="topLeft" activeCell="A1" sqref="A1"/>
      <selection pane="bottomLeft" activeCell="I60" sqref="I60"/>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758</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69" customFormat="1" ht="21" customHeight="1" thickTop="1">
      <c r="A5" s="2469" t="s">
        <v>329</v>
      </c>
      <c r="B5" s="2500"/>
      <c r="C5" s="2498" t="s">
        <v>43</v>
      </c>
      <c r="D5" s="2464"/>
      <c r="E5" s="2492" t="s">
        <v>790</v>
      </c>
      <c r="F5" s="2491"/>
      <c r="G5" s="2492" t="s">
        <v>788</v>
      </c>
      <c r="H5" s="2493"/>
      <c r="I5" s="2494" t="s">
        <v>789</v>
      </c>
      <c r="J5" s="2491"/>
    </row>
    <row r="6" spans="1:10" s="769" customFormat="1" ht="21" customHeight="1" thickBot="1">
      <c r="A6" s="2470"/>
      <c r="B6" s="2502"/>
      <c r="C6" s="982" t="s">
        <v>1205</v>
      </c>
      <c r="D6" s="773" t="s">
        <v>1206</v>
      </c>
      <c r="E6" s="1248" t="s">
        <v>1205</v>
      </c>
      <c r="F6" s="1539" t="s">
        <v>1206</v>
      </c>
      <c r="G6" s="1540" t="s">
        <v>1205</v>
      </c>
      <c r="H6" s="1539" t="s">
        <v>1206</v>
      </c>
      <c r="I6" s="1540" t="s">
        <v>1205</v>
      </c>
      <c r="J6" s="1249" t="s">
        <v>1206</v>
      </c>
    </row>
    <row r="7" spans="1:10" s="586" customFormat="1" ht="21" customHeight="1" thickBot="1" thickTop="1">
      <c r="A7" s="606"/>
      <c r="B7" s="1245"/>
      <c r="C7" s="607"/>
      <c r="D7" s="608"/>
      <c r="E7" s="1064"/>
      <c r="F7" s="1064"/>
      <c r="G7" s="1064"/>
      <c r="H7" s="1064"/>
      <c r="I7" s="1064"/>
      <c r="J7" s="1064"/>
    </row>
    <row r="8" spans="1:10" s="586" customFormat="1" ht="21" customHeight="1">
      <c r="A8" s="609"/>
      <c r="B8" s="610"/>
      <c r="C8" s="611"/>
      <c r="D8" s="612"/>
      <c r="E8" s="1520"/>
      <c r="F8" s="1521"/>
      <c r="G8" s="1520"/>
      <c r="H8" s="1521"/>
      <c r="I8" s="1522"/>
      <c r="J8" s="1521"/>
    </row>
    <row r="9" spans="1:10" s="586" customFormat="1" ht="21" customHeight="1">
      <c r="A9" s="609"/>
      <c r="B9" s="610"/>
      <c r="C9" s="613"/>
      <c r="D9" s="614"/>
      <c r="E9" s="1523"/>
      <c r="F9" s="1524"/>
      <c r="G9" s="1523"/>
      <c r="H9" s="1524"/>
      <c r="I9" s="1525"/>
      <c r="J9" s="1524"/>
    </row>
    <row r="10" spans="1:10" s="586" customFormat="1" ht="21" customHeight="1" thickBot="1">
      <c r="A10" s="615"/>
      <c r="B10" s="1246"/>
      <c r="C10" s="616"/>
      <c r="D10" s="617"/>
      <c r="E10" s="1526"/>
      <c r="F10" s="1527"/>
      <c r="G10" s="1526"/>
      <c r="H10" s="1527"/>
      <c r="I10" s="1528"/>
      <c r="J10" s="1527"/>
    </row>
    <row r="11" spans="1:10" s="586" customFormat="1" ht="21" customHeight="1" thickBot="1" thickTop="1">
      <c r="A11" s="2543" t="s">
        <v>1078</v>
      </c>
      <c r="B11" s="2544"/>
      <c r="C11" s="1250">
        <f>SUM(C7:C10)</f>
        <v>0</v>
      </c>
      <c r="D11" s="1406">
        <f>SUM(D7:D10)</f>
        <v>0</v>
      </c>
      <c r="E11" s="1326">
        <f>ROUND(C11/1000,0)</f>
        <v>0</v>
      </c>
      <c r="F11" s="1335">
        <f>ROUND(D11/1000,0)</f>
        <v>0</v>
      </c>
      <c r="G11" s="1340"/>
      <c r="H11" s="1341"/>
      <c r="I11" s="1330">
        <f>E11+G11</f>
        <v>0</v>
      </c>
      <c r="J11" s="1327">
        <f>F11+H11</f>
        <v>0</v>
      </c>
    </row>
    <row r="12" spans="1:10" s="586" customFormat="1" ht="21" customHeight="1" thickTop="1">
      <c r="A12" s="606"/>
      <c r="B12" s="1245"/>
      <c r="C12" s="607"/>
      <c r="D12" s="608"/>
      <c r="E12" s="1394"/>
      <c r="F12" s="1393"/>
      <c r="G12" s="1392"/>
      <c r="H12" s="1393"/>
      <c r="I12" s="1392"/>
      <c r="J12" s="1393"/>
    </row>
    <row r="13" spans="1:10" s="586" customFormat="1" ht="21" customHeight="1">
      <c r="A13" s="609"/>
      <c r="B13" s="610"/>
      <c r="C13" s="611"/>
      <c r="D13" s="612"/>
      <c r="E13" s="1333"/>
      <c r="F13" s="1323"/>
      <c r="G13" s="1338"/>
      <c r="H13" s="1323"/>
      <c r="I13" s="1338"/>
      <c r="J13" s="1323"/>
    </row>
    <row r="14" spans="1:10" s="586" customFormat="1" ht="21" customHeight="1">
      <c r="A14" s="609"/>
      <c r="B14" s="610"/>
      <c r="C14" s="613"/>
      <c r="D14" s="614"/>
      <c r="E14" s="1333"/>
      <c r="F14" s="1323"/>
      <c r="G14" s="1338"/>
      <c r="H14" s="1323"/>
      <c r="I14" s="1338"/>
      <c r="J14" s="1323"/>
    </row>
    <row r="15" spans="1:10" s="586" customFormat="1" ht="21" customHeight="1" thickBot="1">
      <c r="A15" s="615"/>
      <c r="B15" s="1246"/>
      <c r="C15" s="616"/>
      <c r="D15" s="617"/>
      <c r="E15" s="1334"/>
      <c r="F15" s="1325"/>
      <c r="G15" s="1339"/>
      <c r="H15" s="1325"/>
      <c r="I15" s="1339"/>
      <c r="J15" s="1325"/>
    </row>
    <row r="16" spans="1:10" s="586" customFormat="1" ht="21" customHeight="1" thickBot="1" thickTop="1">
      <c r="A16" s="2543" t="s">
        <v>1080</v>
      </c>
      <c r="B16" s="2544"/>
      <c r="C16" s="1250">
        <f>SUM(C12:C15)</f>
        <v>0</v>
      </c>
      <c r="D16" s="1570">
        <f>SUM(D12:D15)</f>
        <v>0</v>
      </c>
      <c r="E16" s="1326">
        <f>ROUND(C16/1000,0)</f>
        <v>0</v>
      </c>
      <c r="F16" s="1335">
        <f>ROUND(D16/1000,0)</f>
        <v>0</v>
      </c>
      <c r="G16" s="1340"/>
      <c r="H16" s="1341"/>
      <c r="I16" s="1330">
        <f>E16+G16</f>
        <v>0</v>
      </c>
      <c r="J16" s="1327">
        <f>F16+H16</f>
        <v>0</v>
      </c>
    </row>
    <row r="17" spans="1:10" s="586" customFormat="1" ht="21" customHeight="1" thickTop="1">
      <c r="A17" s="606"/>
      <c r="B17" s="1245"/>
      <c r="C17" s="607"/>
      <c r="D17" s="608"/>
      <c r="E17" s="1394"/>
      <c r="F17" s="1393"/>
      <c r="G17" s="1392"/>
      <c r="H17" s="1393"/>
      <c r="I17" s="1392"/>
      <c r="J17" s="1393"/>
    </row>
    <row r="18" spans="1:10" s="586" customFormat="1" ht="21" customHeight="1">
      <c r="A18" s="609"/>
      <c r="B18" s="610"/>
      <c r="C18" s="611"/>
      <c r="D18" s="612"/>
      <c r="E18" s="1333"/>
      <c r="F18" s="1323"/>
      <c r="G18" s="1338"/>
      <c r="H18" s="1323"/>
      <c r="I18" s="1338"/>
      <c r="J18" s="1323"/>
    </row>
    <row r="19" spans="1:10" s="586" customFormat="1" ht="21" customHeight="1">
      <c r="A19" s="609"/>
      <c r="B19" s="610"/>
      <c r="C19" s="613"/>
      <c r="D19" s="614"/>
      <c r="E19" s="1333"/>
      <c r="F19" s="1323"/>
      <c r="G19" s="1338"/>
      <c r="H19" s="1323"/>
      <c r="I19" s="1338"/>
      <c r="J19" s="1323"/>
    </row>
    <row r="20" spans="1:10" s="586" customFormat="1" ht="21" customHeight="1" thickBot="1">
      <c r="A20" s="615"/>
      <c r="B20" s="1246"/>
      <c r="C20" s="616"/>
      <c r="D20" s="617"/>
      <c r="E20" s="1334"/>
      <c r="F20" s="1325"/>
      <c r="G20" s="1339"/>
      <c r="H20" s="1325"/>
      <c r="I20" s="1339"/>
      <c r="J20" s="1325"/>
    </row>
    <row r="21" spans="1:10" s="586" customFormat="1" ht="21" customHeight="1" thickBot="1" thickTop="1">
      <c r="A21" s="2543" t="s">
        <v>1091</v>
      </c>
      <c r="B21" s="2544"/>
      <c r="C21" s="1250">
        <f>SUM(C17:C20)</f>
        <v>0</v>
      </c>
      <c r="D21" s="1570">
        <f>SUM(D17:D20)</f>
        <v>0</v>
      </c>
      <c r="E21" s="1326">
        <f>ROUND(C21/1000,0)</f>
        <v>0</v>
      </c>
      <c r="F21" s="1335">
        <f>ROUND(D21/1000,0)</f>
        <v>0</v>
      </c>
      <c r="G21" s="1340"/>
      <c r="H21" s="1341"/>
      <c r="I21" s="1330">
        <f>E21+G21</f>
        <v>0</v>
      </c>
      <c r="J21" s="1327">
        <f>F21+H21</f>
        <v>0</v>
      </c>
    </row>
    <row r="22" spans="1:10" s="586" customFormat="1" ht="21" customHeight="1" thickTop="1">
      <c r="A22" s="606"/>
      <c r="B22" s="1245"/>
      <c r="C22" s="611"/>
      <c r="D22" s="612"/>
      <c r="E22" s="1394"/>
      <c r="F22" s="1393"/>
      <c r="G22" s="1392"/>
      <c r="H22" s="1393"/>
      <c r="I22" s="1392"/>
      <c r="J22" s="1393"/>
    </row>
    <row r="23" spans="1:10" s="586" customFormat="1" ht="21" customHeight="1">
      <c r="A23" s="609"/>
      <c r="B23" s="1247"/>
      <c r="C23" s="611"/>
      <c r="D23" s="612"/>
      <c r="E23" s="1333"/>
      <c r="F23" s="1323"/>
      <c r="G23" s="1338"/>
      <c r="H23" s="1323"/>
      <c r="I23" s="1338"/>
      <c r="J23" s="1323"/>
    </row>
    <row r="24" spans="1:10" s="586" customFormat="1" ht="21" customHeight="1">
      <c r="A24" s="609"/>
      <c r="B24" s="1247"/>
      <c r="C24" s="611"/>
      <c r="D24" s="612"/>
      <c r="E24" s="1333"/>
      <c r="F24" s="1323"/>
      <c r="G24" s="1338"/>
      <c r="H24" s="1323"/>
      <c r="I24" s="1338"/>
      <c r="J24" s="1323"/>
    </row>
    <row r="25" spans="1:10" s="586" customFormat="1" ht="21" customHeight="1" thickBot="1">
      <c r="A25" s="615"/>
      <c r="B25" s="1246"/>
      <c r="C25" s="618"/>
      <c r="D25" s="619"/>
      <c r="E25" s="1334"/>
      <c r="F25" s="1325"/>
      <c r="G25" s="1339"/>
      <c r="H25" s="1325"/>
      <c r="I25" s="1339"/>
      <c r="J25" s="1325"/>
    </row>
    <row r="26" spans="1:10" s="586" customFormat="1" ht="21" customHeight="1" thickBot="1" thickTop="1">
      <c r="A26" s="1183"/>
      <c r="B26" s="1200" t="s">
        <v>1798</v>
      </c>
      <c r="C26" s="1162">
        <f>SUM(C22:C25)</f>
        <v>0</v>
      </c>
      <c r="D26" s="1163">
        <f>SUM(D22:D25)</f>
        <v>0</v>
      </c>
      <c r="E26" s="1326">
        <f>ROUND(C26/1000,0)</f>
        <v>0</v>
      </c>
      <c r="F26" s="1335">
        <f>ROUND(D26/1000,0)</f>
        <v>0</v>
      </c>
      <c r="G26" s="1340"/>
      <c r="H26" s="1341"/>
      <c r="I26" s="1330">
        <f>E26+G26</f>
        <v>0</v>
      </c>
      <c r="J26" s="1327">
        <f>F26+H26</f>
        <v>0</v>
      </c>
    </row>
    <row r="27" spans="1:10" s="586" customFormat="1" ht="21" customHeight="1" thickTop="1">
      <c r="A27" s="1226"/>
      <c r="B27" s="1227"/>
      <c r="C27" s="1193"/>
      <c r="D27" s="1194"/>
      <c r="E27" s="1394"/>
      <c r="F27" s="1393"/>
      <c r="G27" s="1392"/>
      <c r="H27" s="1393"/>
      <c r="I27" s="1392"/>
      <c r="J27" s="1393"/>
    </row>
    <row r="28" spans="1:10" s="586" customFormat="1" ht="21" customHeight="1">
      <c r="A28" s="1571"/>
      <c r="B28" s="1572"/>
      <c r="C28" s="1573"/>
      <c r="D28" s="1574"/>
      <c r="E28" s="1333"/>
      <c r="F28" s="1323"/>
      <c r="G28" s="1338"/>
      <c r="H28" s="1323"/>
      <c r="I28" s="1338"/>
      <c r="J28" s="1323"/>
    </row>
    <row r="29" spans="1:10" s="586" customFormat="1" ht="21" customHeight="1">
      <c r="A29" s="1179"/>
      <c r="B29" s="1228"/>
      <c r="C29" s="1181"/>
      <c r="D29" s="1182"/>
      <c r="E29" s="1333"/>
      <c r="F29" s="1323"/>
      <c r="G29" s="1338"/>
      <c r="H29" s="1323"/>
      <c r="I29" s="1338"/>
      <c r="J29" s="1323"/>
    </row>
    <row r="30" spans="1:10" s="586" customFormat="1" ht="21" customHeight="1" thickBot="1">
      <c r="A30" s="1179"/>
      <c r="B30" s="1180"/>
      <c r="C30" s="1181"/>
      <c r="D30" s="1182"/>
      <c r="E30" s="1334"/>
      <c r="F30" s="1325"/>
      <c r="G30" s="1339"/>
      <c r="H30" s="1325"/>
      <c r="I30" s="1339"/>
      <c r="J30" s="1325"/>
    </row>
    <row r="31" spans="1:10" s="586" customFormat="1" ht="21" customHeight="1" thickBot="1" thickTop="1">
      <c r="A31" s="1183"/>
      <c r="B31" s="1209" t="s">
        <v>1101</v>
      </c>
      <c r="C31" s="1162">
        <f>SUM(C27:C30)</f>
        <v>0</v>
      </c>
      <c r="D31" s="1163">
        <f>SUM(D27:D30)</f>
        <v>0</v>
      </c>
      <c r="E31" s="1326">
        <f>ROUND(C31/1000,0)</f>
        <v>0</v>
      </c>
      <c r="F31" s="1335">
        <f>ROUND(D31/1000,0)</f>
        <v>0</v>
      </c>
      <c r="G31" s="1340"/>
      <c r="H31" s="1341"/>
      <c r="I31" s="1330">
        <f>E31+G31</f>
        <v>0</v>
      </c>
      <c r="J31" s="1327">
        <f>F31+H31</f>
        <v>0</v>
      </c>
    </row>
    <row r="32" spans="1:10" s="586" customFormat="1" ht="21" customHeight="1" thickTop="1">
      <c r="A32" s="1226"/>
      <c r="B32" s="1229"/>
      <c r="C32" s="1193"/>
      <c r="D32" s="1194"/>
      <c r="E32" s="1394"/>
      <c r="F32" s="1393"/>
      <c r="G32" s="1392"/>
      <c r="H32" s="1393"/>
      <c r="I32" s="1392"/>
      <c r="J32" s="1393"/>
    </row>
    <row r="33" spans="1:10" s="586" customFormat="1" ht="21" customHeight="1">
      <c r="A33" s="1575"/>
      <c r="B33" s="1576"/>
      <c r="C33" s="1187"/>
      <c r="D33" s="1188"/>
      <c r="E33" s="1333"/>
      <c r="F33" s="1323"/>
      <c r="G33" s="1338"/>
      <c r="H33" s="1323"/>
      <c r="I33" s="1338"/>
      <c r="J33" s="1323"/>
    </row>
    <row r="34" spans="1:10" s="586" customFormat="1" ht="21" customHeight="1">
      <c r="A34" s="1175"/>
      <c r="B34" s="1221"/>
      <c r="C34" s="1177"/>
      <c r="D34" s="1178"/>
      <c r="E34" s="1333"/>
      <c r="F34" s="1323"/>
      <c r="G34" s="1338"/>
      <c r="H34" s="1323"/>
      <c r="I34" s="1338"/>
      <c r="J34" s="1323"/>
    </row>
    <row r="35" spans="1:10" s="586" customFormat="1" ht="21" customHeight="1" thickBot="1">
      <c r="A35" s="1232"/>
      <c r="B35" s="1233"/>
      <c r="C35" s="1207"/>
      <c r="D35" s="1208"/>
      <c r="E35" s="1334"/>
      <c r="F35" s="1325"/>
      <c r="G35" s="1339"/>
      <c r="H35" s="1325"/>
      <c r="I35" s="1339"/>
      <c r="J35" s="1325"/>
    </row>
    <row r="36" spans="1:10" s="586" customFormat="1" ht="21" customHeight="1" thickBot="1" thickTop="1">
      <c r="A36" s="1216"/>
      <c r="B36" s="1217" t="s">
        <v>1106</v>
      </c>
      <c r="C36" s="1166">
        <f>SUM(C32:C35)</f>
        <v>0</v>
      </c>
      <c r="D36" s="1167">
        <f>SUM(D32:D35)</f>
        <v>0</v>
      </c>
      <c r="E36" s="1326">
        <f>ROUND(C36/1000,0)</f>
        <v>0</v>
      </c>
      <c r="F36" s="1335">
        <f>ROUND(D36/1000,0)</f>
        <v>0</v>
      </c>
      <c r="G36" s="1340"/>
      <c r="H36" s="1341"/>
      <c r="I36" s="1330">
        <f>E36+G36</f>
        <v>0</v>
      </c>
      <c r="J36" s="1327">
        <f>F36+H36</f>
        <v>0</v>
      </c>
    </row>
    <row r="37" spans="1:9" s="586" customFormat="1" ht="21" customHeight="1" thickBot="1" thickTop="1">
      <c r="A37" s="2532" t="s">
        <v>23</v>
      </c>
      <c r="B37" s="2533"/>
      <c r="C37" s="1151">
        <f aca="true" t="shared" si="0" ref="C37:H37">SUM(C26,C31,C36)</f>
        <v>0</v>
      </c>
      <c r="D37" s="1152">
        <f t="shared" si="0"/>
        <v>0</v>
      </c>
      <c r="E37" s="1151">
        <f t="shared" si="0"/>
        <v>0</v>
      </c>
      <c r="F37" s="1152">
        <f t="shared" si="0"/>
        <v>0</v>
      </c>
      <c r="G37" s="1151">
        <f t="shared" si="0"/>
        <v>0</v>
      </c>
      <c r="H37" s="1152">
        <f t="shared" si="0"/>
        <v>0</v>
      </c>
      <c r="I37" s="603"/>
    </row>
    <row r="38" spans="1:10" s="586" customFormat="1" ht="21" customHeight="1" thickTop="1">
      <c r="A38" s="606"/>
      <c r="B38" s="1245"/>
      <c r="C38" s="611"/>
      <c r="D38" s="612"/>
      <c r="E38" s="1394"/>
      <c r="F38" s="1393"/>
      <c r="G38" s="1392"/>
      <c r="H38" s="1393"/>
      <c r="I38" s="1392"/>
      <c r="J38" s="1393"/>
    </row>
    <row r="39" spans="1:10" s="586" customFormat="1" ht="21" customHeight="1">
      <c r="A39" s="609"/>
      <c r="B39" s="1247"/>
      <c r="C39" s="611"/>
      <c r="D39" s="612"/>
      <c r="E39" s="1333"/>
      <c r="F39" s="1323"/>
      <c r="G39" s="1338"/>
      <c r="H39" s="1323"/>
      <c r="I39" s="1338"/>
      <c r="J39" s="1323"/>
    </row>
    <row r="40" spans="1:10" s="586" customFormat="1" ht="21" customHeight="1">
      <c r="A40" s="609"/>
      <c r="B40" s="1247"/>
      <c r="C40" s="611"/>
      <c r="D40" s="612"/>
      <c r="E40" s="1333"/>
      <c r="F40" s="1323"/>
      <c r="G40" s="1338"/>
      <c r="H40" s="1323"/>
      <c r="I40" s="1338"/>
      <c r="J40" s="1323"/>
    </row>
    <row r="41" spans="1:10" s="586" customFormat="1" ht="21" customHeight="1" thickBot="1">
      <c r="A41" s="615"/>
      <c r="B41" s="1246"/>
      <c r="C41" s="618"/>
      <c r="D41" s="619"/>
      <c r="E41" s="1334"/>
      <c r="F41" s="1325"/>
      <c r="G41" s="1339"/>
      <c r="H41" s="1325"/>
      <c r="I41" s="1339"/>
      <c r="J41" s="1325"/>
    </row>
    <row r="42" spans="1:10" s="1172" customFormat="1" ht="21" customHeight="1" thickBot="1" thickTop="1">
      <c r="A42" s="1183"/>
      <c r="B42" s="1200" t="s">
        <v>1622</v>
      </c>
      <c r="C42" s="1162">
        <f>SUM(C38:C41)</f>
        <v>0</v>
      </c>
      <c r="D42" s="1163">
        <f>SUM(D38:D41)</f>
        <v>0</v>
      </c>
      <c r="E42" s="1326">
        <f>ROUND(C42/1000,0)</f>
        <v>0</v>
      </c>
      <c r="F42" s="1335">
        <f>ROUND(D42/1000,0)</f>
        <v>0</v>
      </c>
      <c r="G42" s="1340"/>
      <c r="H42" s="1341"/>
      <c r="I42" s="1330">
        <f>E42+G42</f>
        <v>0</v>
      </c>
      <c r="J42" s="1327">
        <f>F42+H42</f>
        <v>0</v>
      </c>
    </row>
    <row r="43" spans="1:10" s="1172" customFormat="1" ht="25.5" customHeight="1" thickTop="1">
      <c r="A43" s="1226"/>
      <c r="B43" s="1227"/>
      <c r="C43" s="1193"/>
      <c r="D43" s="1194"/>
      <c r="E43" s="1394"/>
      <c r="F43" s="1393"/>
      <c r="G43" s="1392"/>
      <c r="H43" s="1393"/>
      <c r="I43" s="1392"/>
      <c r="J43" s="1393"/>
    </row>
    <row r="44" spans="1:10" s="1172" customFormat="1" ht="25.5" customHeight="1">
      <c r="A44" s="1571"/>
      <c r="B44" s="1572"/>
      <c r="C44" s="1573"/>
      <c r="D44" s="1574"/>
      <c r="E44" s="1333"/>
      <c r="F44" s="1323"/>
      <c r="G44" s="1338"/>
      <c r="H44" s="1323"/>
      <c r="I44" s="1338"/>
      <c r="J44" s="1323"/>
    </row>
    <row r="45" spans="1:10" s="1172" customFormat="1" ht="27" customHeight="1">
      <c r="A45" s="1179"/>
      <c r="B45" s="1228"/>
      <c r="C45" s="1181"/>
      <c r="D45" s="1182"/>
      <c r="E45" s="1333"/>
      <c r="F45" s="1323"/>
      <c r="G45" s="1338"/>
      <c r="H45" s="1323"/>
      <c r="I45" s="1338"/>
      <c r="J45" s="1323"/>
    </row>
    <row r="46" spans="1:10" s="1172" customFormat="1" ht="21" customHeight="1" thickBot="1">
      <c r="A46" s="1179"/>
      <c r="B46" s="1180"/>
      <c r="C46" s="1181"/>
      <c r="D46" s="1182"/>
      <c r="E46" s="1334"/>
      <c r="F46" s="1325"/>
      <c r="G46" s="1339"/>
      <c r="H46" s="1325"/>
      <c r="I46" s="1339"/>
      <c r="J46" s="1325"/>
    </row>
    <row r="47" spans="1:10" s="1172" customFormat="1" ht="21" customHeight="1" thickBot="1" thickTop="1">
      <c r="A47" s="1183"/>
      <c r="B47" s="1209" t="s">
        <v>697</v>
      </c>
      <c r="C47" s="1162">
        <f>SUM(C43:C46)</f>
        <v>0</v>
      </c>
      <c r="D47" s="1163">
        <f>SUM(D43:D46)</f>
        <v>0</v>
      </c>
      <c r="E47" s="1326">
        <f>ROUND(C47/1000,0)</f>
        <v>0</v>
      </c>
      <c r="F47" s="1335">
        <f>ROUND(D47/1000,0)</f>
        <v>0</v>
      </c>
      <c r="G47" s="1340"/>
      <c r="H47" s="1341"/>
      <c r="I47" s="1330">
        <f>E47+G47</f>
        <v>0</v>
      </c>
      <c r="J47" s="1327">
        <f>F47+H47</f>
        <v>0</v>
      </c>
    </row>
    <row r="48" spans="1:10" s="1172" customFormat="1" ht="21" customHeight="1" thickTop="1">
      <c r="A48" s="1226"/>
      <c r="B48" s="1229"/>
      <c r="C48" s="1193"/>
      <c r="D48" s="1194"/>
      <c r="E48" s="1394"/>
      <c r="F48" s="1393"/>
      <c r="G48" s="1392"/>
      <c r="H48" s="1393"/>
      <c r="I48" s="1392"/>
      <c r="J48" s="1393"/>
    </row>
    <row r="49" spans="1:10" s="1172" customFormat="1" ht="21" customHeight="1">
      <c r="A49" s="1575"/>
      <c r="B49" s="1576"/>
      <c r="C49" s="1187"/>
      <c r="D49" s="1188"/>
      <c r="E49" s="1333"/>
      <c r="F49" s="1323"/>
      <c r="G49" s="1338"/>
      <c r="H49" s="1323"/>
      <c r="I49" s="1338"/>
      <c r="J49" s="1323"/>
    </row>
    <row r="50" spans="1:10" s="1172" customFormat="1" ht="21" customHeight="1">
      <c r="A50" s="1175"/>
      <c r="B50" s="1221"/>
      <c r="C50" s="1177"/>
      <c r="D50" s="1178"/>
      <c r="E50" s="1333"/>
      <c r="F50" s="1323"/>
      <c r="G50" s="1338"/>
      <c r="H50" s="1323"/>
      <c r="I50" s="1338"/>
      <c r="J50" s="1323"/>
    </row>
    <row r="51" spans="1:10" s="1172" customFormat="1" ht="21" customHeight="1" thickBot="1">
      <c r="A51" s="1232"/>
      <c r="B51" s="1233"/>
      <c r="C51" s="1207"/>
      <c r="D51" s="1208"/>
      <c r="E51" s="1334"/>
      <c r="F51" s="1325"/>
      <c r="G51" s="1339"/>
      <c r="H51" s="1325"/>
      <c r="I51" s="1339"/>
      <c r="J51" s="1325"/>
    </row>
    <row r="52" spans="1:10" s="1172" customFormat="1" ht="21" customHeight="1" thickBot="1" thickTop="1">
      <c r="A52" s="1216"/>
      <c r="B52" s="1217" t="s">
        <v>1499</v>
      </c>
      <c r="C52" s="1166">
        <f>SUM(C48:C51)</f>
        <v>0</v>
      </c>
      <c r="D52" s="1167">
        <f>SUM(D48:D51)</f>
        <v>0</v>
      </c>
      <c r="E52" s="1326">
        <f>ROUND(C52/1000,0)</f>
        <v>0</v>
      </c>
      <c r="F52" s="1335">
        <f>ROUND(D52/1000,0)</f>
        <v>0</v>
      </c>
      <c r="G52" s="1340"/>
      <c r="H52" s="1341"/>
      <c r="I52" s="1330">
        <f>E52+G52</f>
        <v>0</v>
      </c>
      <c r="J52" s="1327">
        <f>F52+H52</f>
        <v>0</v>
      </c>
    </row>
    <row r="53" spans="1:9" s="1172" customFormat="1" ht="21" customHeight="1" thickBot="1" thickTop="1">
      <c r="A53" s="2532" t="s">
        <v>1498</v>
      </c>
      <c r="B53" s="2533"/>
      <c r="C53" s="1151">
        <f aca="true" t="shared" si="1" ref="C53:H53">SUM(C42,C47,C52)</f>
        <v>0</v>
      </c>
      <c r="D53" s="1152">
        <f t="shared" si="1"/>
        <v>0</v>
      </c>
      <c r="E53" s="1151">
        <f t="shared" si="1"/>
        <v>0</v>
      </c>
      <c r="F53" s="1152">
        <f t="shared" si="1"/>
        <v>0</v>
      </c>
      <c r="G53" s="1151">
        <f t="shared" si="1"/>
        <v>0</v>
      </c>
      <c r="H53" s="1152">
        <f t="shared" si="1"/>
        <v>0</v>
      </c>
      <c r="I53" s="1174"/>
    </row>
    <row r="54" spans="1:10" s="1172" customFormat="1" ht="21" customHeight="1" thickTop="1">
      <c r="A54" s="1236"/>
      <c r="B54" s="1237"/>
      <c r="C54" s="1170"/>
      <c r="D54" s="1171"/>
      <c r="E54" s="1394"/>
      <c r="F54" s="1393"/>
      <c r="G54" s="1392"/>
      <c r="H54" s="1393"/>
      <c r="I54" s="1392"/>
      <c r="J54" s="1393"/>
    </row>
    <row r="55" spans="1:10" s="1172" customFormat="1" ht="21" customHeight="1">
      <c r="A55" s="1577"/>
      <c r="B55" s="1578"/>
      <c r="C55" s="1187"/>
      <c r="D55" s="1188"/>
      <c r="E55" s="1333"/>
      <c r="F55" s="1323"/>
      <c r="G55" s="1338"/>
      <c r="H55" s="1323"/>
      <c r="I55" s="1338"/>
      <c r="J55" s="1323"/>
    </row>
    <row r="56" spans="1:10" s="1172" customFormat="1" ht="21" customHeight="1">
      <c r="A56" s="1238"/>
      <c r="B56" s="1213"/>
      <c r="C56" s="1177"/>
      <c r="D56" s="1178"/>
      <c r="E56" s="1333"/>
      <c r="F56" s="1323"/>
      <c r="G56" s="1338"/>
      <c r="H56" s="1323"/>
      <c r="I56" s="1338"/>
      <c r="J56" s="1323"/>
    </row>
    <row r="57" spans="1:10" s="1243" customFormat="1" ht="21" customHeight="1" thickBot="1">
      <c r="A57" s="1239"/>
      <c r="B57" s="1240"/>
      <c r="C57" s="1241"/>
      <c r="D57" s="1242"/>
      <c r="E57" s="1334"/>
      <c r="F57" s="1325"/>
      <c r="G57" s="1339"/>
      <c r="H57" s="1325"/>
      <c r="I57" s="1339"/>
      <c r="J57" s="1325"/>
    </row>
    <row r="58" spans="1:10" s="1243" customFormat="1" ht="21" customHeight="1" thickBot="1" thickTop="1">
      <c r="A58" s="2535" t="s">
        <v>1122</v>
      </c>
      <c r="B58" s="2542"/>
      <c r="C58" s="1151">
        <f>SUM(C54:C57)</f>
        <v>0</v>
      </c>
      <c r="D58" s="1152">
        <f>SUM(D54:D57)</f>
        <v>0</v>
      </c>
      <c r="E58" s="1326">
        <f>ROUND(C58/1000,0)</f>
        <v>0</v>
      </c>
      <c r="F58" s="1335">
        <f>ROUND(D58/1000,0)</f>
        <v>0</v>
      </c>
      <c r="G58" s="1340"/>
      <c r="H58" s="1341"/>
      <c r="I58" s="1330">
        <f>E58+G58</f>
        <v>0</v>
      </c>
      <c r="J58" s="1327">
        <f>F58+H58</f>
        <v>0</v>
      </c>
    </row>
    <row r="59" s="1132" customFormat="1" ht="12.75" thickBot="1" thickTop="1"/>
    <row r="60" spans="1:10" s="1243" customFormat="1" ht="21" customHeight="1" thickBot="1" thickTop="1">
      <c r="A60" s="2535" t="s">
        <v>1497</v>
      </c>
      <c r="B60" s="2542"/>
      <c r="C60" s="1151">
        <f aca="true" t="shared" si="2" ref="C60:H60">SUM(C11,C16,C21)-SUM(C37,C53,C58)</f>
        <v>0</v>
      </c>
      <c r="D60" s="1151">
        <f t="shared" si="2"/>
        <v>0</v>
      </c>
      <c r="E60" s="1530">
        <f t="shared" si="2"/>
        <v>0</v>
      </c>
      <c r="F60" s="1530">
        <f t="shared" si="2"/>
        <v>0</v>
      </c>
      <c r="G60" s="1530">
        <f t="shared" si="2"/>
        <v>0</v>
      </c>
      <c r="H60" s="1538">
        <f t="shared" si="2"/>
        <v>0</v>
      </c>
      <c r="I60" s="1342">
        <f>ROUND(C60/1000,0)</f>
        <v>0</v>
      </c>
      <c r="J60" s="1343">
        <f>ROUND(D60/1000,0)</f>
        <v>0</v>
      </c>
    </row>
    <row r="61" spans="5:10" s="1132" customFormat="1" ht="16.5" thickBot="1" thickTop="1">
      <c r="E61" s="388"/>
      <c r="F61" s="388"/>
      <c r="G61" s="388"/>
      <c r="H61" s="388"/>
      <c r="I61" s="1345" t="str">
        <f>IF(I60-G60-E60=0,"OK",I60-G60-E60)</f>
        <v>OK</v>
      </c>
      <c r="J61" s="1345" t="str">
        <f>IF(J60-H60-F60=0,"OK",J60-H60-F60)</f>
        <v>OK</v>
      </c>
    </row>
  </sheetData>
  <mergeCells count="12">
    <mergeCell ref="A21:B21"/>
    <mergeCell ref="E5:F5"/>
    <mergeCell ref="G5:H5"/>
    <mergeCell ref="I5:J5"/>
    <mergeCell ref="C5:D5"/>
    <mergeCell ref="A5:B6"/>
    <mergeCell ref="A11:B11"/>
    <mergeCell ref="A16:B16"/>
    <mergeCell ref="A58:B58"/>
    <mergeCell ref="A60:B60"/>
    <mergeCell ref="A53:B53"/>
    <mergeCell ref="A37:B37"/>
  </mergeCells>
  <printOptions horizontalCentered="1"/>
  <pageMargins left="0.7874015748031497" right="0.7874015748031497" top="0.5905511811023623" bottom="0.99" header="0.3937007874015748" footer="0.3937007874015748"/>
  <pageSetup horizontalDpi="600" verticalDpi="600" orientation="portrait" paperSize="9" r:id="rId1"/>
  <headerFooter alignWithMargins="0">
    <oddFooter>&amp;L&amp;U                                                &amp;U
        vállalkozás vezetője
             (képviselője)&amp;C&amp;P/&amp;N&amp;R&amp;A</oddFooter>
  </headerFooter>
</worksheet>
</file>

<file path=xl/worksheets/sheet63.xml><?xml version="1.0" encoding="utf-8"?>
<worksheet xmlns="http://schemas.openxmlformats.org/spreadsheetml/2006/main" xmlns:r="http://schemas.openxmlformats.org/officeDocument/2006/relationships">
  <sheetPr codeName="Munka56"/>
  <dimension ref="A1:L55"/>
  <sheetViews>
    <sheetView workbookViewId="0" topLeftCell="A1">
      <pane ySplit="6" topLeftCell="BM31" activePane="bottomLeft" state="frozen"/>
      <selection pane="topLeft" activeCell="A1" sqref="A1"/>
      <selection pane="bottomLeft" activeCell="L45" sqref="L45"/>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1684</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69" customFormat="1" ht="21" customHeight="1">
      <c r="A5" s="2557" t="s">
        <v>329</v>
      </c>
      <c r="B5" s="2558"/>
      <c r="C5" s="2555" t="s">
        <v>43</v>
      </c>
      <c r="D5" s="2556"/>
      <c r="E5" s="2492" t="s">
        <v>790</v>
      </c>
      <c r="F5" s="2491"/>
      <c r="G5" s="2492" t="s">
        <v>788</v>
      </c>
      <c r="H5" s="2493"/>
      <c r="I5" s="2494" t="s">
        <v>789</v>
      </c>
      <c r="J5" s="2491"/>
    </row>
    <row r="6" spans="1:10" s="769" customFormat="1" ht="21" customHeight="1" thickBot="1">
      <c r="A6" s="2559"/>
      <c r="B6" s="2560"/>
      <c r="C6" s="1248" t="s">
        <v>1205</v>
      </c>
      <c r="D6" s="1249" t="s">
        <v>1206</v>
      </c>
      <c r="E6" s="1248" t="s">
        <v>1205</v>
      </c>
      <c r="F6" s="1539" t="s">
        <v>1206</v>
      </c>
      <c r="G6" s="1540" t="s">
        <v>1205</v>
      </c>
      <c r="H6" s="1539" t="s">
        <v>1206</v>
      </c>
      <c r="I6" s="1540" t="s">
        <v>1205</v>
      </c>
      <c r="J6" s="1249" t="s">
        <v>1206</v>
      </c>
    </row>
    <row r="7" spans="1:10" s="1407" customFormat="1" ht="21" customHeight="1" hidden="1">
      <c r="A7" s="1409"/>
      <c r="B7" s="1410"/>
      <c r="C7" s="1411"/>
      <c r="D7" s="1412"/>
      <c r="E7" s="1064"/>
      <c r="F7" s="1064"/>
      <c r="G7" s="1064"/>
      <c r="H7" s="1064"/>
      <c r="I7" s="1064"/>
      <c r="J7" s="1064"/>
    </row>
    <row r="8" spans="1:10" s="1407" customFormat="1" ht="21" customHeight="1">
      <c r="A8" s="1413"/>
      <c r="B8" s="1414"/>
      <c r="C8" s="1415"/>
      <c r="D8" s="1416"/>
      <c r="E8" s="1520"/>
      <c r="F8" s="1521"/>
      <c r="G8" s="1520"/>
      <c r="H8" s="1521"/>
      <c r="I8" s="1522"/>
      <c r="J8" s="1521"/>
    </row>
    <row r="9" spans="1:10" s="1407" customFormat="1" ht="21" customHeight="1">
      <c r="A9" s="1413"/>
      <c r="B9" s="1414"/>
      <c r="C9" s="1415"/>
      <c r="D9" s="1416"/>
      <c r="E9" s="1523"/>
      <c r="F9" s="1524"/>
      <c r="G9" s="1523"/>
      <c r="H9" s="1524"/>
      <c r="I9" s="1525"/>
      <c r="J9" s="1524"/>
    </row>
    <row r="10" spans="1:10" s="1407" customFormat="1" ht="21" customHeight="1" thickBot="1">
      <c r="A10" s="1417"/>
      <c r="B10" s="1418"/>
      <c r="C10" s="1419"/>
      <c r="D10" s="1420"/>
      <c r="E10" s="1526"/>
      <c r="F10" s="1527"/>
      <c r="G10" s="1526"/>
      <c r="H10" s="1527"/>
      <c r="I10" s="1528"/>
      <c r="J10" s="1527"/>
    </row>
    <row r="11" spans="1:10" s="1407" customFormat="1" ht="21" customHeight="1" thickBot="1">
      <c r="A11" s="2331" t="s">
        <v>93</v>
      </c>
      <c r="B11" s="2332"/>
      <c r="C11" s="1421">
        <f>SUM(C7:C10)</f>
        <v>0</v>
      </c>
      <c r="D11" s="1422">
        <f>SUM(D7:D10)</f>
        <v>0</v>
      </c>
      <c r="E11" s="1326">
        <f>ROUND(C11/1000,0)</f>
        <v>0</v>
      </c>
      <c r="F11" s="1335">
        <f>ROUND(D11/1000,0)</f>
        <v>0</v>
      </c>
      <c r="G11" s="1340"/>
      <c r="H11" s="1341"/>
      <c r="I11" s="1330">
        <f>E11+G11</f>
        <v>0</v>
      </c>
      <c r="J11" s="1327">
        <f>F11+H11</f>
        <v>0</v>
      </c>
    </row>
    <row r="12" spans="1:10" s="1407" customFormat="1" ht="21" customHeight="1" hidden="1">
      <c r="A12" s="1423"/>
      <c r="B12" s="1424"/>
      <c r="C12" s="1411"/>
      <c r="D12" s="1412"/>
      <c r="E12" s="1394"/>
      <c r="F12" s="1393"/>
      <c r="G12" s="1392"/>
      <c r="H12" s="1393"/>
      <c r="I12" s="1392"/>
      <c r="J12" s="1393"/>
    </row>
    <row r="13" spans="1:10" s="1407" customFormat="1" ht="21" customHeight="1">
      <c r="A13" s="1413"/>
      <c r="B13" s="1414"/>
      <c r="C13" s="1415"/>
      <c r="D13" s="1416"/>
      <c r="E13" s="1333"/>
      <c r="F13" s="1323"/>
      <c r="G13" s="1338"/>
      <c r="H13" s="1323"/>
      <c r="I13" s="1338"/>
      <c r="J13" s="1323"/>
    </row>
    <row r="14" spans="1:10" s="1407" customFormat="1" ht="21" customHeight="1">
      <c r="A14" s="1413"/>
      <c r="B14" s="1414"/>
      <c r="C14" s="1415"/>
      <c r="D14" s="1416"/>
      <c r="E14" s="1333"/>
      <c r="F14" s="1323"/>
      <c r="G14" s="1338"/>
      <c r="H14" s="1323"/>
      <c r="I14" s="1338"/>
      <c r="J14" s="1323"/>
    </row>
    <row r="15" spans="1:10" s="1407" customFormat="1" ht="21" customHeight="1" thickBot="1">
      <c r="A15" s="1417"/>
      <c r="B15" s="1418"/>
      <c r="C15" s="1419"/>
      <c r="D15" s="1420"/>
      <c r="E15" s="1334"/>
      <c r="F15" s="1325"/>
      <c r="G15" s="1339"/>
      <c r="H15" s="1325"/>
      <c r="I15" s="1339"/>
      <c r="J15" s="1325"/>
    </row>
    <row r="16" spans="1:10" s="1407" customFormat="1" ht="21" customHeight="1" thickBot="1">
      <c r="A16" s="2331" t="s">
        <v>1431</v>
      </c>
      <c r="B16" s="2332"/>
      <c r="C16" s="1421">
        <f>SUM(C12:C15)</f>
        <v>0</v>
      </c>
      <c r="D16" s="1422">
        <f>SUM(D12:D15)</f>
        <v>0</v>
      </c>
      <c r="E16" s="1326">
        <f>ROUND(C16/1000,0)</f>
        <v>0</v>
      </c>
      <c r="F16" s="1335">
        <f>ROUND(D16/1000,0)</f>
        <v>0</v>
      </c>
      <c r="G16" s="1340"/>
      <c r="H16" s="1341"/>
      <c r="I16" s="1330">
        <f>E16+G16</f>
        <v>0</v>
      </c>
      <c r="J16" s="1327">
        <f>F16+H16</f>
        <v>0</v>
      </c>
    </row>
    <row r="17" spans="1:10" s="1407" customFormat="1" ht="21" customHeight="1" hidden="1">
      <c r="A17" s="1423"/>
      <c r="B17" s="1424"/>
      <c r="C17" s="1411"/>
      <c r="D17" s="1412"/>
      <c r="E17" s="1394"/>
      <c r="F17" s="1393"/>
      <c r="G17" s="1392"/>
      <c r="H17" s="1393"/>
      <c r="I17" s="1392"/>
      <c r="J17" s="1393"/>
    </row>
    <row r="18" spans="1:10" s="1407" customFormat="1" ht="21" customHeight="1">
      <c r="A18" s="1413"/>
      <c r="B18" s="1425"/>
      <c r="C18" s="1415"/>
      <c r="D18" s="1416"/>
      <c r="E18" s="1333"/>
      <c r="F18" s="1323"/>
      <c r="G18" s="1338"/>
      <c r="H18" s="1323"/>
      <c r="I18" s="1338"/>
      <c r="J18" s="1323"/>
    </row>
    <row r="19" spans="1:10" s="1407" customFormat="1" ht="21" customHeight="1">
      <c r="A19" s="1413"/>
      <c r="B19" s="1425"/>
      <c r="C19" s="1415"/>
      <c r="D19" s="1416"/>
      <c r="E19" s="1333"/>
      <c r="F19" s="1323"/>
      <c r="G19" s="1338"/>
      <c r="H19" s="1323"/>
      <c r="I19" s="1338"/>
      <c r="J19" s="1323"/>
    </row>
    <row r="20" spans="1:10" s="1407" customFormat="1" ht="21" customHeight="1" thickBot="1">
      <c r="A20" s="1417"/>
      <c r="B20" s="1418"/>
      <c r="C20" s="1419"/>
      <c r="D20" s="1420"/>
      <c r="E20" s="1334"/>
      <c r="F20" s="1325"/>
      <c r="G20" s="1339"/>
      <c r="H20" s="1325"/>
      <c r="I20" s="1339"/>
      <c r="J20" s="1325"/>
    </row>
    <row r="21" spans="1:10" s="1407" customFormat="1" ht="27" customHeight="1" thickBot="1">
      <c r="A21" s="2547" t="s">
        <v>1128</v>
      </c>
      <c r="B21" s="2548"/>
      <c r="C21" s="1421">
        <f>SUM(C17:C20)</f>
        <v>0</v>
      </c>
      <c r="D21" s="1422">
        <f>SUM(D17:D20)</f>
        <v>0</v>
      </c>
      <c r="E21" s="1326">
        <f>ROUND(C21/1000,0)</f>
        <v>0</v>
      </c>
      <c r="F21" s="1335">
        <f>ROUND(D21/1000,0)</f>
        <v>0</v>
      </c>
      <c r="G21" s="1340"/>
      <c r="H21" s="1341"/>
      <c r="I21" s="1330">
        <f>E21+G21</f>
        <v>0</v>
      </c>
      <c r="J21" s="1327">
        <f>F21+H21</f>
        <v>0</v>
      </c>
    </row>
    <row r="22" spans="1:10" s="1407" customFormat="1" ht="21" customHeight="1" hidden="1">
      <c r="A22" s="1423"/>
      <c r="B22" s="1424"/>
      <c r="C22" s="1411"/>
      <c r="D22" s="1412"/>
      <c r="E22" s="778"/>
      <c r="F22" s="778"/>
      <c r="G22" s="778"/>
      <c r="H22" s="778"/>
      <c r="I22" s="778"/>
      <c r="J22" s="778"/>
    </row>
    <row r="23" spans="1:10" s="1407" customFormat="1" ht="21" customHeight="1">
      <c r="A23" s="1413"/>
      <c r="B23" s="1425"/>
      <c r="C23" s="1415"/>
      <c r="D23" s="1416"/>
      <c r="E23" s="1333"/>
      <c r="F23" s="1323"/>
      <c r="G23" s="1338"/>
      <c r="H23" s="1323"/>
      <c r="I23" s="1338"/>
      <c r="J23" s="1323"/>
    </row>
    <row r="24" spans="1:10" s="1407" customFormat="1" ht="21" customHeight="1">
      <c r="A24" s="1413"/>
      <c r="B24" s="1425"/>
      <c r="C24" s="1415"/>
      <c r="D24" s="1416"/>
      <c r="E24" s="1333"/>
      <c r="F24" s="1323"/>
      <c r="G24" s="1338"/>
      <c r="H24" s="1323"/>
      <c r="I24" s="1338"/>
      <c r="J24" s="1323"/>
    </row>
    <row r="25" spans="1:10" s="1407" customFormat="1" ht="21" customHeight="1" thickBot="1">
      <c r="A25" s="1417"/>
      <c r="B25" s="1418"/>
      <c r="C25" s="1419"/>
      <c r="D25" s="1420"/>
      <c r="E25" s="1334"/>
      <c r="F25" s="1325"/>
      <c r="G25" s="1339"/>
      <c r="H25" s="1325"/>
      <c r="I25" s="1339"/>
      <c r="J25" s="1325"/>
    </row>
    <row r="26" spans="1:10" s="1407" customFormat="1" ht="21" customHeight="1" thickBot="1">
      <c r="A26" s="2561" t="s">
        <v>94</v>
      </c>
      <c r="B26" s="2548"/>
      <c r="C26" s="1421">
        <f>SUM(C22:C25)</f>
        <v>0</v>
      </c>
      <c r="D26" s="1422">
        <f>SUM(D22:D25)</f>
        <v>0</v>
      </c>
      <c r="E26" s="1326">
        <f>ROUND(C26/1000,0)</f>
        <v>0</v>
      </c>
      <c r="F26" s="1335">
        <f>ROUND(D26/1000,0)</f>
        <v>0</v>
      </c>
      <c r="G26" s="1340"/>
      <c r="H26" s="1341"/>
      <c r="I26" s="1330">
        <f>E26+G26</f>
        <v>0</v>
      </c>
      <c r="J26" s="1327">
        <f>F26+H26</f>
        <v>0</v>
      </c>
    </row>
    <row r="27" spans="1:10" s="1407" customFormat="1" ht="21" customHeight="1" hidden="1">
      <c r="A27" s="1423"/>
      <c r="B27" s="1424"/>
      <c r="C27" s="1411"/>
      <c r="D27" s="1412"/>
      <c r="E27" s="778"/>
      <c r="F27" s="778"/>
      <c r="G27" s="778"/>
      <c r="H27" s="778"/>
      <c r="I27" s="778"/>
      <c r="J27" s="778"/>
    </row>
    <row r="28" spans="1:10" s="1407" customFormat="1" ht="21" customHeight="1">
      <c r="A28" s="1413"/>
      <c r="B28" s="1425"/>
      <c r="C28" s="1415"/>
      <c r="D28" s="1416"/>
      <c r="E28" s="1333"/>
      <c r="F28" s="1323"/>
      <c r="G28" s="1338"/>
      <c r="H28" s="1323"/>
      <c r="I28" s="1338"/>
      <c r="J28" s="1323"/>
    </row>
    <row r="29" spans="1:10" s="1407" customFormat="1" ht="21" customHeight="1">
      <c r="A29" s="1413"/>
      <c r="B29" s="1425"/>
      <c r="C29" s="1415"/>
      <c r="D29" s="1416"/>
      <c r="E29" s="1333"/>
      <c r="F29" s="1323"/>
      <c r="G29" s="1338"/>
      <c r="H29" s="1323"/>
      <c r="I29" s="1338"/>
      <c r="J29" s="1323"/>
    </row>
    <row r="30" spans="1:10" s="1407" customFormat="1" ht="21" customHeight="1" thickBot="1">
      <c r="A30" s="1417"/>
      <c r="B30" s="1418"/>
      <c r="C30" s="1419"/>
      <c r="D30" s="1420"/>
      <c r="E30" s="1334"/>
      <c r="F30" s="1325"/>
      <c r="G30" s="1339"/>
      <c r="H30" s="1325"/>
      <c r="I30" s="1339"/>
      <c r="J30" s="1325"/>
    </row>
    <row r="31" spans="1:10" s="1407" customFormat="1" ht="21" customHeight="1" thickBot="1">
      <c r="A31" s="2549" t="s">
        <v>95</v>
      </c>
      <c r="B31" s="2550"/>
      <c r="C31" s="1426">
        <f>SUM(C27:C30)</f>
        <v>0</v>
      </c>
      <c r="D31" s="1427">
        <f>SUM(D27:D30)</f>
        <v>0</v>
      </c>
      <c r="E31" s="1326">
        <f>ROUND(C31/1000,0)</f>
        <v>0</v>
      </c>
      <c r="F31" s="1335">
        <f>ROUND(D31/1000,0)</f>
        <v>0</v>
      </c>
      <c r="G31" s="1340"/>
      <c r="H31" s="1341"/>
      <c r="I31" s="1330">
        <f>E31+G31</f>
        <v>0</v>
      </c>
      <c r="J31" s="1327">
        <f>F31+H31</f>
        <v>0</v>
      </c>
    </row>
    <row r="32" spans="1:12" s="1407" customFormat="1" ht="21" customHeight="1" thickBot="1" thickTop="1">
      <c r="A32" s="2545" t="s">
        <v>1685</v>
      </c>
      <c r="B32" s="2546"/>
      <c r="C32" s="1403">
        <f>SUM(C11,C16,C21,C26,C31)</f>
        <v>0</v>
      </c>
      <c r="D32" s="1428">
        <f>SUM(D11,D16,D21,D26,D31)</f>
        <v>0</v>
      </c>
      <c r="E32" s="1530">
        <f>SUM(E8:E31)</f>
        <v>0</v>
      </c>
      <c r="F32" s="1530">
        <f>SUM(F8:F31)</f>
        <v>0</v>
      </c>
      <c r="G32" s="1530">
        <f>SUM(G8:G31)</f>
        <v>0</v>
      </c>
      <c r="H32" s="1538">
        <f>SUM(H8:H31)</f>
        <v>0</v>
      </c>
      <c r="I32" s="1342">
        <f>ROUND(C32/1000,0)</f>
        <v>0</v>
      </c>
      <c r="J32" s="1343">
        <f>ROUND(D32/1000,0)</f>
        <v>0</v>
      </c>
      <c r="K32" s="1345" t="str">
        <f>IF(I32-G32-E32=0,"OK",I32-G32-E32)</f>
        <v>OK</v>
      </c>
      <c r="L32" s="1345" t="str">
        <f>IF(J32-H32-F32=0,"OK",J32-H32-F32)</f>
        <v>OK</v>
      </c>
    </row>
    <row r="33" spans="1:9" s="1407" customFormat="1" ht="21" customHeight="1" hidden="1" thickTop="1">
      <c r="A33" s="1429"/>
      <c r="B33" s="1430"/>
      <c r="C33" s="1411"/>
      <c r="D33" s="1412"/>
      <c r="F33" s="1408"/>
      <c r="G33" s="1408"/>
      <c r="H33" s="1408"/>
      <c r="I33" s="1408"/>
    </row>
    <row r="34" spans="1:10" s="1407" customFormat="1" ht="21" customHeight="1" thickTop="1">
      <c r="A34" s="1431"/>
      <c r="B34" s="1432"/>
      <c r="C34" s="1415"/>
      <c r="D34" s="1416"/>
      <c r="E34" s="1520"/>
      <c r="F34" s="1521"/>
      <c r="G34" s="1520"/>
      <c r="H34" s="1521"/>
      <c r="I34" s="1522"/>
      <c r="J34" s="1521"/>
    </row>
    <row r="35" spans="1:10" s="1407" customFormat="1" ht="21" customHeight="1">
      <c r="A35" s="1431"/>
      <c r="B35" s="1432"/>
      <c r="C35" s="1415"/>
      <c r="D35" s="1416"/>
      <c r="E35" s="1523"/>
      <c r="F35" s="1524"/>
      <c r="G35" s="1523"/>
      <c r="H35" s="1524"/>
      <c r="I35" s="1525"/>
      <c r="J35" s="1524"/>
    </row>
    <row r="36" spans="1:10" s="1407" customFormat="1" ht="21" customHeight="1" thickBot="1">
      <c r="A36" s="1433"/>
      <c r="B36" s="1434"/>
      <c r="C36" s="1419"/>
      <c r="D36" s="1420"/>
      <c r="E36" s="1526"/>
      <c r="F36" s="1527"/>
      <c r="G36" s="1526"/>
      <c r="H36" s="1527"/>
      <c r="I36" s="1528"/>
      <c r="J36" s="1527"/>
    </row>
    <row r="37" spans="1:10" s="1407" customFormat="1" ht="21" customHeight="1" thickBot="1">
      <c r="A37" s="2551" t="s">
        <v>662</v>
      </c>
      <c r="B37" s="2552"/>
      <c r="C37" s="1421">
        <f>SUM(C33:C36)</f>
        <v>0</v>
      </c>
      <c r="D37" s="1422">
        <f>SUM(D33:D36)</f>
        <v>0</v>
      </c>
      <c r="E37" s="1326">
        <f>ROUND(C37/1000,0)</f>
        <v>0</v>
      </c>
      <c r="F37" s="1335">
        <f>ROUND(D37/1000,0)</f>
        <v>0</v>
      </c>
      <c r="G37" s="1340"/>
      <c r="H37" s="1341"/>
      <c r="I37" s="1330">
        <f>E37+G37</f>
        <v>0</v>
      </c>
      <c r="J37" s="1327">
        <f>F37+H37</f>
        <v>0</v>
      </c>
    </row>
    <row r="38" spans="1:10" s="1407" customFormat="1" ht="21" customHeight="1" hidden="1">
      <c r="A38" s="1429"/>
      <c r="B38" s="1430"/>
      <c r="C38" s="1411"/>
      <c r="D38" s="1412"/>
      <c r="E38" s="1394"/>
      <c r="F38" s="1393"/>
      <c r="G38" s="1392"/>
      <c r="H38" s="1393"/>
      <c r="I38" s="1392"/>
      <c r="J38" s="1393"/>
    </row>
    <row r="39" spans="1:10" s="1407" customFormat="1" ht="21" customHeight="1">
      <c r="A39" s="1431"/>
      <c r="B39" s="1432"/>
      <c r="C39" s="1415"/>
      <c r="D39" s="1416"/>
      <c r="E39" s="1333"/>
      <c r="F39" s="1323"/>
      <c r="G39" s="1338"/>
      <c r="H39" s="1323"/>
      <c r="I39" s="1338"/>
      <c r="J39" s="1323"/>
    </row>
    <row r="40" spans="1:10" s="1407" customFormat="1" ht="21" customHeight="1">
      <c r="A40" s="1431"/>
      <c r="B40" s="1432"/>
      <c r="C40" s="1415"/>
      <c r="D40" s="1416"/>
      <c r="E40" s="1333"/>
      <c r="F40" s="1323"/>
      <c r="G40" s="1338"/>
      <c r="H40" s="1323"/>
      <c r="I40" s="1338"/>
      <c r="J40" s="1323"/>
    </row>
    <row r="41" spans="1:10" s="1407" customFormat="1" ht="21" customHeight="1" thickBot="1">
      <c r="A41" s="1433"/>
      <c r="B41" s="1434"/>
      <c r="C41" s="1419"/>
      <c r="D41" s="1420"/>
      <c r="E41" s="1334"/>
      <c r="F41" s="1325"/>
      <c r="G41" s="1339"/>
      <c r="H41" s="1325"/>
      <c r="I41" s="1339"/>
      <c r="J41" s="1325"/>
    </row>
    <row r="42" spans="1:10" s="1407" customFormat="1" ht="21" customHeight="1" thickBot="1">
      <c r="A42" s="2551" t="s">
        <v>96</v>
      </c>
      <c r="B42" s="2552"/>
      <c r="C42" s="1421">
        <f>SUM(C38:C41)</f>
        <v>0</v>
      </c>
      <c r="D42" s="1422">
        <f>SUM(D38:D41)</f>
        <v>0</v>
      </c>
      <c r="E42" s="1326">
        <f>ROUND(C42/1000,0)</f>
        <v>0</v>
      </c>
      <c r="F42" s="1335">
        <f>ROUND(D42/1000,0)</f>
        <v>0</v>
      </c>
      <c r="G42" s="1340"/>
      <c r="H42" s="1341"/>
      <c r="I42" s="1330">
        <f>E42+G42</f>
        <v>0</v>
      </c>
      <c r="J42" s="1327">
        <f>F42+H42</f>
        <v>0</v>
      </c>
    </row>
    <row r="43" spans="1:10" s="1407" customFormat="1" ht="21" customHeight="1" hidden="1">
      <c r="A43" s="1429"/>
      <c r="B43" s="1430"/>
      <c r="C43" s="1411"/>
      <c r="D43" s="1412"/>
      <c r="E43" s="1394"/>
      <c r="F43" s="1393"/>
      <c r="G43" s="1392"/>
      <c r="H43" s="1393"/>
      <c r="I43" s="1392"/>
      <c r="J43" s="1393"/>
    </row>
    <row r="44" spans="1:10" s="1407" customFormat="1" ht="21" customHeight="1">
      <c r="A44" s="1431"/>
      <c r="B44" s="1435"/>
      <c r="C44" s="1415"/>
      <c r="D44" s="1416"/>
      <c r="E44" s="1333"/>
      <c r="F44" s="1323"/>
      <c r="G44" s="1338"/>
      <c r="H44" s="1323"/>
      <c r="I44" s="1338"/>
      <c r="J44" s="1323"/>
    </row>
    <row r="45" spans="1:10" s="1407" customFormat="1" ht="21" customHeight="1">
      <c r="A45" s="1431"/>
      <c r="B45" s="1435"/>
      <c r="C45" s="1415"/>
      <c r="D45" s="1416"/>
      <c r="E45" s="1333"/>
      <c r="F45" s="1323"/>
      <c r="G45" s="1338"/>
      <c r="H45" s="1323"/>
      <c r="I45" s="1338"/>
      <c r="J45" s="1323"/>
    </row>
    <row r="46" spans="1:10" s="1407" customFormat="1" ht="21" customHeight="1" thickBot="1">
      <c r="A46" s="1433"/>
      <c r="B46" s="1434"/>
      <c r="C46" s="1419"/>
      <c r="D46" s="1420"/>
      <c r="E46" s="1334"/>
      <c r="F46" s="1325"/>
      <c r="G46" s="1339"/>
      <c r="H46" s="1325"/>
      <c r="I46" s="1339"/>
      <c r="J46" s="1325"/>
    </row>
    <row r="47" spans="1:10" s="1407" customFormat="1" ht="21" customHeight="1" thickBot="1">
      <c r="A47" s="2551" t="s">
        <v>673</v>
      </c>
      <c r="B47" s="2552"/>
      <c r="C47" s="1421">
        <f>SUM(C43:C46)</f>
        <v>0</v>
      </c>
      <c r="D47" s="1422">
        <f>SUM(D43:D46)</f>
        <v>0</v>
      </c>
      <c r="E47" s="1326">
        <f>ROUND(C47/1000,0)</f>
        <v>0</v>
      </c>
      <c r="F47" s="1335">
        <f>ROUND(D47/1000,0)</f>
        <v>0</v>
      </c>
      <c r="G47" s="1340"/>
      <c r="H47" s="1341"/>
      <c r="I47" s="1330">
        <f>E47+G47</f>
        <v>0</v>
      </c>
      <c r="J47" s="1327">
        <f>F47+H47</f>
        <v>0</v>
      </c>
    </row>
    <row r="48" spans="1:10" s="1407" customFormat="1" ht="21" customHeight="1" hidden="1">
      <c r="A48" s="1429"/>
      <c r="B48" s="1430"/>
      <c r="C48" s="1411"/>
      <c r="D48" s="1412"/>
      <c r="E48" s="778"/>
      <c r="F48" s="778"/>
      <c r="G48" s="778"/>
      <c r="H48" s="778"/>
      <c r="I48" s="778"/>
      <c r="J48" s="778"/>
    </row>
    <row r="49" spans="1:10" s="1407" customFormat="1" ht="21" customHeight="1">
      <c r="A49" s="1431"/>
      <c r="B49" s="1435"/>
      <c r="C49" s="1415"/>
      <c r="D49" s="1416"/>
      <c r="E49" s="1333"/>
      <c r="F49" s="1323"/>
      <c r="G49" s="1338"/>
      <c r="H49" s="1323"/>
      <c r="I49" s="1338"/>
      <c r="J49" s="1323"/>
    </row>
    <row r="50" spans="1:10" s="1407" customFormat="1" ht="21" customHeight="1">
      <c r="A50" s="1431"/>
      <c r="B50" s="1435"/>
      <c r="C50" s="1415"/>
      <c r="D50" s="1416"/>
      <c r="E50" s="1333"/>
      <c r="F50" s="1323"/>
      <c r="G50" s="1338"/>
      <c r="H50" s="1323"/>
      <c r="I50" s="1338"/>
      <c r="J50" s="1323"/>
    </row>
    <row r="51" spans="1:10" s="1407" customFormat="1" ht="21" customHeight="1" thickBot="1">
      <c r="A51" s="1433"/>
      <c r="B51" s="1434"/>
      <c r="C51" s="1419"/>
      <c r="D51" s="1420"/>
      <c r="E51" s="1334"/>
      <c r="F51" s="1325"/>
      <c r="G51" s="1339"/>
      <c r="H51" s="1325"/>
      <c r="I51" s="1339"/>
      <c r="J51" s="1325"/>
    </row>
    <row r="52" spans="1:10" s="1407" customFormat="1" ht="21" customHeight="1" thickBot="1">
      <c r="A52" s="2553" t="s">
        <v>97</v>
      </c>
      <c r="B52" s="2554"/>
      <c r="C52" s="1426">
        <f>SUM(C48:C51)</f>
        <v>0</v>
      </c>
      <c r="D52" s="1427">
        <f>SUM(D48:D51)</f>
        <v>0</v>
      </c>
      <c r="E52" s="1326">
        <f>ROUND(C52/1000,0)</f>
        <v>0</v>
      </c>
      <c r="F52" s="1335">
        <f>ROUND(D52/1000,0)</f>
        <v>0</v>
      </c>
      <c r="G52" s="1340"/>
      <c r="H52" s="1341"/>
      <c r="I52" s="1330">
        <f>E52+G52</f>
        <v>0</v>
      </c>
      <c r="J52" s="1327">
        <f>F52+H52</f>
        <v>0</v>
      </c>
    </row>
    <row r="53" spans="1:12" s="1407" customFormat="1" ht="21" customHeight="1" thickBot="1" thickTop="1">
      <c r="A53" s="2545" t="s">
        <v>1686</v>
      </c>
      <c r="B53" s="2546"/>
      <c r="C53" s="1403">
        <f>SUM(C37,C42,C47,C52)</f>
        <v>0</v>
      </c>
      <c r="D53" s="1428">
        <f>SUM(D37,D42,D47,D52)</f>
        <v>0</v>
      </c>
      <c r="E53" s="1530">
        <f>SUM(E34:E52)</f>
        <v>0</v>
      </c>
      <c r="F53" s="1530">
        <f>SUM(F34:F52)</f>
        <v>0</v>
      </c>
      <c r="G53" s="1530">
        <f>SUM(G34:G52)</f>
        <v>0</v>
      </c>
      <c r="H53" s="1538">
        <f>SUM(H34:H52)</f>
        <v>0</v>
      </c>
      <c r="I53" s="1342">
        <f>ROUND(C53/1000,0)</f>
        <v>0</v>
      </c>
      <c r="J53" s="1343">
        <f>ROUND(D53/1000,0)</f>
        <v>0</v>
      </c>
      <c r="K53" s="1345" t="str">
        <f>IF(I53-G53-E53=0,"OK",I53-G53-E53)</f>
        <v>OK</v>
      </c>
      <c r="L53" s="1345" t="str">
        <f>IF(J53-H53-F53=0,"OK",J53-H53-F53)</f>
        <v>OK</v>
      </c>
    </row>
    <row r="54" s="1132" customFormat="1" ht="12.75" thickBot="1" thickTop="1"/>
    <row r="55" spans="1:9" s="1243" customFormat="1" ht="21" customHeight="1" thickBot="1" thickTop="1">
      <c r="A55" s="2535" t="s">
        <v>1687</v>
      </c>
      <c r="B55" s="2542"/>
      <c r="C55" s="1151">
        <f>C32-C53</f>
        <v>0</v>
      </c>
      <c r="D55" s="1152">
        <f>D32-D53</f>
        <v>0</v>
      </c>
      <c r="F55" s="1244"/>
      <c r="G55" s="1173"/>
      <c r="H55" s="1173"/>
      <c r="I55" s="1173"/>
    </row>
    <row r="56" s="1132" customFormat="1" ht="12" thickTop="1"/>
  </sheetData>
  <mergeCells count="17">
    <mergeCell ref="A42:B42"/>
    <mergeCell ref="A52:B52"/>
    <mergeCell ref="A47:B47"/>
    <mergeCell ref="C5:D5"/>
    <mergeCell ref="A5:B6"/>
    <mergeCell ref="A11:B11"/>
    <mergeCell ref="A26:B26"/>
    <mergeCell ref="E5:F5"/>
    <mergeCell ref="G5:H5"/>
    <mergeCell ref="I5:J5"/>
    <mergeCell ref="A55:B55"/>
    <mergeCell ref="A53:B53"/>
    <mergeCell ref="A16:B16"/>
    <mergeCell ref="A21:B21"/>
    <mergeCell ref="A31:B31"/>
    <mergeCell ref="A32:B32"/>
    <mergeCell ref="A37:B37"/>
  </mergeCells>
  <printOptions horizontalCentered="1"/>
  <pageMargins left="0.7874015748031497" right="0.7874015748031497" top="0.5905511811023623" bottom="1.05" header="0.3937007874015748" footer="0.3937007874015748"/>
  <pageSetup horizontalDpi="600" verticalDpi="600" orientation="portrait" paperSize="9" r:id="rId1"/>
  <headerFooter alignWithMargins="0">
    <oddFooter>&amp;L&amp;U                                                &amp;U
        vállalkozás vezetője
             (képviselője)&amp;C&amp;P/&amp;N&amp;R&amp;A</oddFooter>
  </headerFooter>
  <rowBreaks count="1" manualBreakCount="1">
    <brk id="36" max="3" man="1"/>
  </rowBreaks>
</worksheet>
</file>

<file path=xl/worksheets/sheet64.xml><?xml version="1.0" encoding="utf-8"?>
<worksheet xmlns="http://schemas.openxmlformats.org/spreadsheetml/2006/main" xmlns:r="http://schemas.openxmlformats.org/officeDocument/2006/relationships">
  <sheetPr codeName="Munka57"/>
  <dimension ref="A1:K21"/>
  <sheetViews>
    <sheetView workbookViewId="0" topLeftCell="A1">
      <selection activeCell="I40" sqref="I40"/>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31.Hőszolgáltatás </v>
      </c>
      <c r="E1" s="1028"/>
      <c r="F1" s="1028"/>
      <c r="G1" s="1028"/>
    </row>
    <row r="2" spans="1:8" s="1030" customFormat="1" ht="15">
      <c r="A2" s="1027"/>
      <c r="B2" s="1028"/>
      <c r="C2" s="1028"/>
      <c r="D2" s="1028"/>
      <c r="E2" s="1028"/>
      <c r="F2" s="1028"/>
      <c r="G2" s="1028"/>
      <c r="H2" s="1028"/>
    </row>
    <row r="3" spans="1:9" s="1035" customFormat="1" ht="16.5">
      <c r="A3" s="1032" t="s">
        <v>1688</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1" t="s">
        <v>1848</v>
      </c>
      <c r="B5" s="2522"/>
      <c r="C5" s="2519" t="s">
        <v>43</v>
      </c>
      <c r="D5" s="2520"/>
      <c r="E5" s="2492" t="s">
        <v>790</v>
      </c>
      <c r="F5" s="2491"/>
      <c r="G5" s="2492" t="s">
        <v>788</v>
      </c>
      <c r="H5" s="2493"/>
      <c r="I5" s="2494" t="s">
        <v>789</v>
      </c>
      <c r="J5" s="2491"/>
    </row>
    <row r="6" spans="1:10" s="739" customFormat="1" ht="21" customHeight="1" thickBot="1">
      <c r="A6" s="2523"/>
      <c r="B6" s="2524"/>
      <c r="C6" s="1104" t="s">
        <v>603</v>
      </c>
      <c r="D6" s="1105" t="s">
        <v>922</v>
      </c>
      <c r="E6" s="1248" t="s">
        <v>1205</v>
      </c>
      <c r="F6" s="1539" t="s">
        <v>1206</v>
      </c>
      <c r="G6" s="1540" t="s">
        <v>1205</v>
      </c>
      <c r="H6" s="1539" t="s">
        <v>1206</v>
      </c>
      <c r="I6" s="1540" t="s">
        <v>1205</v>
      </c>
      <c r="J6" s="1249" t="s">
        <v>1206</v>
      </c>
    </row>
    <row r="7" spans="1:8" s="744" customFormat="1" ht="21" customHeight="1" hidden="1" thickTop="1">
      <c r="A7" s="1112"/>
      <c r="B7" s="1397"/>
      <c r="C7" s="1398"/>
      <c r="D7" s="1399"/>
      <c r="E7" s="743"/>
      <c r="F7" s="743"/>
      <c r="G7" s="743"/>
      <c r="H7" s="743"/>
    </row>
    <row r="8" spans="1:10" s="744" customFormat="1" ht="21" customHeight="1" thickTop="1">
      <c r="A8" s="1106"/>
      <c r="B8" s="1107"/>
      <c r="C8" s="1115"/>
      <c r="D8" s="1116"/>
      <c r="E8" s="1337"/>
      <c r="F8" s="1321"/>
      <c r="G8" s="1337"/>
      <c r="H8" s="1321"/>
      <c r="I8" s="1337"/>
      <c r="J8" s="1321"/>
    </row>
    <row r="9" spans="1:10" s="744" customFormat="1" ht="21" customHeight="1">
      <c r="A9" s="1106"/>
      <c r="B9" s="1107"/>
      <c r="C9" s="1115"/>
      <c r="D9" s="1116"/>
      <c r="E9" s="1338"/>
      <c r="F9" s="1323"/>
      <c r="G9" s="1338"/>
      <c r="H9" s="1323"/>
      <c r="I9" s="1338"/>
      <c r="J9" s="1323"/>
    </row>
    <row r="10" spans="1:10" s="744" customFormat="1" ht="21" customHeight="1" thickBot="1">
      <c r="A10" s="1108"/>
      <c r="B10" s="1109"/>
      <c r="C10" s="1400"/>
      <c r="D10" s="1401"/>
      <c r="E10" s="1339"/>
      <c r="F10" s="1325"/>
      <c r="G10" s="1339"/>
      <c r="H10" s="1325"/>
      <c r="I10" s="1339"/>
      <c r="J10" s="1325"/>
    </row>
    <row r="11" spans="1:10" s="744" customFormat="1" ht="21" customHeight="1" thickBot="1" thickTop="1">
      <c r="A11" s="2465" t="s">
        <v>679</v>
      </c>
      <c r="B11" s="2497"/>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172"/>
      <c r="F12" s="1173"/>
      <c r="G12" s="1174"/>
      <c r="H12" s="1174"/>
      <c r="I12" s="1174"/>
      <c r="J12" s="1172"/>
    </row>
    <row r="13" spans="1:10" s="744" customFormat="1" ht="21" customHeight="1" thickTop="1">
      <c r="A13" s="1106"/>
      <c r="B13" s="1114"/>
      <c r="C13" s="1115"/>
      <c r="D13" s="1116"/>
      <c r="E13" s="1333"/>
      <c r="F13" s="1323"/>
      <c r="G13" s="1338"/>
      <c r="H13" s="1323"/>
      <c r="I13" s="1338"/>
      <c r="J13" s="1323"/>
    </row>
    <row r="14" spans="1:10" s="744" customFormat="1" ht="21" customHeight="1">
      <c r="A14" s="110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1" customHeight="1" thickBot="1" thickTop="1">
      <c r="A16" s="2465" t="s">
        <v>681</v>
      </c>
      <c r="B16" s="2497"/>
      <c r="C16" s="1110">
        <f>SUM(C12:C15)</f>
        <v>0</v>
      </c>
      <c r="D16" s="1111">
        <f>SUM(D12:D15)</f>
        <v>0</v>
      </c>
      <c r="E16" s="1326">
        <f>ROUND(C16/1000,0)</f>
        <v>0</v>
      </c>
      <c r="F16" s="1335">
        <f>ROUND(D16/1000,0)</f>
        <v>0</v>
      </c>
      <c r="G16" s="1340"/>
      <c r="H16" s="1341"/>
      <c r="I16" s="1330">
        <f>E16+G16</f>
        <v>0</v>
      </c>
      <c r="J16" s="1327">
        <f>F16+H16</f>
        <v>0</v>
      </c>
    </row>
    <row r="17" spans="1:10" s="744" customFormat="1" ht="21" customHeight="1" thickBot="1" thickTop="1">
      <c r="A17" s="2525"/>
      <c r="B17" s="2525"/>
      <c r="C17" s="1120"/>
      <c r="D17" s="1120"/>
      <c r="E17" s="1132"/>
      <c r="F17" s="1132"/>
      <c r="G17" s="1132"/>
      <c r="H17" s="1132"/>
      <c r="I17" s="1132"/>
      <c r="J17" s="1132"/>
    </row>
    <row r="18" spans="1:10" s="744" customFormat="1" ht="21" customHeight="1" thickBot="1" thickTop="1">
      <c r="A18" s="2465" t="s">
        <v>1689</v>
      </c>
      <c r="B18" s="2497"/>
      <c r="C18" s="1110">
        <f aca="true" t="shared" si="0" ref="C18:H18">SUM(C11-C16)</f>
        <v>0</v>
      </c>
      <c r="D18" s="1111">
        <f t="shared" si="0"/>
        <v>0</v>
      </c>
      <c r="E18" s="1530">
        <f t="shared" si="0"/>
        <v>0</v>
      </c>
      <c r="F18" s="1530">
        <f t="shared" si="0"/>
        <v>0</v>
      </c>
      <c r="G18" s="1530">
        <f t="shared" si="0"/>
        <v>0</v>
      </c>
      <c r="H18" s="1538">
        <f t="shared" si="0"/>
        <v>0</v>
      </c>
      <c r="I18" s="1342">
        <f>ROUND(C18/1000,0)</f>
        <v>0</v>
      </c>
      <c r="J18" s="1343">
        <f>ROUND(D18/1000,0)</f>
        <v>0</v>
      </c>
    </row>
    <row r="19" spans="1:11" s="743" customFormat="1" ht="19.5" customHeight="1" thickBot="1" thickTop="1">
      <c r="A19" s="742"/>
      <c r="B19" s="1036"/>
      <c r="C19" s="1039"/>
      <c r="D19" s="1039"/>
      <c r="E19" s="388"/>
      <c r="F19" s="388"/>
      <c r="G19" s="388"/>
      <c r="H19" s="388"/>
      <c r="I19" s="1345" t="str">
        <f>IF(I18-G18-E18=0,"OK",I18-G18-E18)</f>
        <v>OK</v>
      </c>
      <c r="J19" s="1345" t="str">
        <f>IF(J18-H18-F18=0,"OK",J18-H18-F18)</f>
        <v>OK</v>
      </c>
      <c r="K19" s="1040"/>
    </row>
    <row r="20" spans="1:10" s="743" customFormat="1" ht="19.5" customHeight="1">
      <c r="A20" s="742"/>
      <c r="B20" s="742"/>
      <c r="C20" s="1039"/>
      <c r="D20" s="1039"/>
      <c r="E20" s="1039"/>
      <c r="F20" s="1039"/>
      <c r="G20" s="1039"/>
      <c r="H20" s="1039"/>
      <c r="I20" s="1039"/>
      <c r="J20" s="1039"/>
    </row>
    <row r="21" spans="1:10" s="743" customFormat="1" ht="19.5" customHeight="1">
      <c r="A21" s="742"/>
      <c r="B21" s="1036"/>
      <c r="C21" s="1039"/>
      <c r="D21" s="1039"/>
      <c r="E21" s="1039"/>
      <c r="F21" s="1039"/>
      <c r="G21" s="1039"/>
      <c r="H21" s="1039"/>
      <c r="I21" s="1039"/>
      <c r="J21" s="1039"/>
    </row>
    <row r="22" s="1041" customFormat="1" ht="11.25"/>
    <row r="23" s="1041" customFormat="1" ht="11.25"/>
    <row r="24" s="1132" customFormat="1" ht="11.25"/>
    <row r="25" s="1132" customFormat="1" ht="11.25"/>
    <row r="26" s="1132" customFormat="1" ht="11.25"/>
    <row r="27" s="1132" customFormat="1" ht="11.25"/>
  </sheetData>
  <mergeCells count="9">
    <mergeCell ref="A5:B6"/>
    <mergeCell ref="A17:B17"/>
    <mergeCell ref="A18:B18"/>
    <mergeCell ref="A11:B11"/>
    <mergeCell ref="A16:B16"/>
    <mergeCell ref="E5:F5"/>
    <mergeCell ref="G5:H5"/>
    <mergeCell ref="I5:J5"/>
    <mergeCell ref="C5:D5"/>
  </mergeCells>
  <printOptions horizontalCentered="1"/>
  <pageMargins left="0.7874015748031497" right="0.7874015748031497" top="0.5905511811023623" bottom="0.61" header="0.3937007874015748" footer="0.4"/>
  <pageSetup horizontalDpi="600" verticalDpi="600" orientation="portrait" paperSize="9" r:id="rId3"/>
  <headerFooter alignWithMargins="0">
    <oddFooter>&amp;L&amp;U                                                &amp;U
        vállalkozás vezetője
             (képviselője)&amp;C&amp;P/&amp;N&amp;R&amp;A</oddFooter>
  </headerFooter>
  <legacyDrawing r:id="rId2"/>
</worksheet>
</file>

<file path=xl/worksheets/sheet65.xml><?xml version="1.0" encoding="utf-8"?>
<worksheet xmlns="http://schemas.openxmlformats.org/spreadsheetml/2006/main" xmlns:r="http://schemas.openxmlformats.org/officeDocument/2006/relationships">
  <sheetPr codeName="Munka32"/>
  <dimension ref="A1:C55"/>
  <sheetViews>
    <sheetView workbookViewId="0" topLeftCell="A1">
      <selection activeCell="I12" sqref="I12"/>
    </sheetView>
  </sheetViews>
  <sheetFormatPr defaultColWidth="9.00390625" defaultRowHeight="12.75"/>
  <cols>
    <col min="1" max="1" width="10.625" style="0" customWidth="1"/>
    <col min="10" max="10" width="12.00390625" style="0" customWidth="1"/>
  </cols>
  <sheetData>
    <row r="1" ht="12.75">
      <c r="A1" s="2016" t="s">
        <v>1779</v>
      </c>
    </row>
    <row r="2" ht="12.75">
      <c r="B2" t="s">
        <v>1781</v>
      </c>
    </row>
    <row r="3" ht="12.75">
      <c r="B3" t="s">
        <v>1780</v>
      </c>
    </row>
    <row r="4" ht="12.75">
      <c r="A4" s="2016" t="s">
        <v>471</v>
      </c>
    </row>
    <row r="5" spans="1:2" ht="12.75">
      <c r="A5" s="2018" t="s">
        <v>472</v>
      </c>
      <c r="B5" t="s">
        <v>469</v>
      </c>
    </row>
    <row r="6" ht="12.75">
      <c r="B6" t="s">
        <v>470</v>
      </c>
    </row>
    <row r="7" spans="1:2" ht="12.75">
      <c r="A7" s="2020" t="s">
        <v>473</v>
      </c>
      <c r="B7" t="s">
        <v>1130</v>
      </c>
    </row>
    <row r="8" ht="12.75">
      <c r="B8" t="s">
        <v>474</v>
      </c>
    </row>
    <row r="9" ht="12.75">
      <c r="A9" s="2016" t="s">
        <v>543</v>
      </c>
    </row>
    <row r="10" ht="12.75">
      <c r="B10" t="s">
        <v>476</v>
      </c>
    </row>
    <row r="11" ht="12.75">
      <c r="B11" t="s">
        <v>1397</v>
      </c>
    </row>
    <row r="12" ht="12.75">
      <c r="B12" t="s">
        <v>1398</v>
      </c>
    </row>
    <row r="13" ht="12.75">
      <c r="B13" t="s">
        <v>1399</v>
      </c>
    </row>
    <row r="14" ht="12.75">
      <c r="B14" t="s">
        <v>1400</v>
      </c>
    </row>
    <row r="15" ht="12.75">
      <c r="B15" t="s">
        <v>1401</v>
      </c>
    </row>
    <row r="17" ht="12.75">
      <c r="A17" s="2016" t="s">
        <v>475</v>
      </c>
    </row>
    <row r="18" spans="1:2" ht="12.75">
      <c r="A18" s="2016"/>
      <c r="B18" s="2016" t="s">
        <v>482</v>
      </c>
    </row>
    <row r="19" ht="12.75">
      <c r="B19" s="2016" t="s">
        <v>480</v>
      </c>
    </row>
    <row r="20" ht="12.75">
      <c r="B20" s="2021" t="s">
        <v>1229</v>
      </c>
    </row>
    <row r="21" ht="12.75">
      <c r="B21" t="s">
        <v>412</v>
      </c>
    </row>
    <row r="22" ht="12.75">
      <c r="B22" t="s">
        <v>413</v>
      </c>
    </row>
    <row r="23" ht="12.75">
      <c r="B23" t="s">
        <v>414</v>
      </c>
    </row>
    <row r="24" ht="12.75">
      <c r="B24" t="s">
        <v>415</v>
      </c>
    </row>
    <row r="25" ht="12.75">
      <c r="B25" t="s">
        <v>546</v>
      </c>
    </row>
    <row r="26" ht="12.75">
      <c r="B26" s="2019" t="s">
        <v>416</v>
      </c>
    </row>
    <row r="27" ht="12.75">
      <c r="B27" t="s">
        <v>417</v>
      </c>
    </row>
    <row r="28" ht="12.75">
      <c r="B28" t="s">
        <v>418</v>
      </c>
    </row>
    <row r="29" ht="12.75">
      <c r="B29" s="2016" t="s">
        <v>481</v>
      </c>
    </row>
    <row r="30" ht="12.75">
      <c r="B30" s="2021" t="s">
        <v>1228</v>
      </c>
    </row>
    <row r="31" ht="12.75">
      <c r="B31" s="2021" t="s">
        <v>477</v>
      </c>
    </row>
    <row r="32" ht="12.75">
      <c r="B32" s="2021" t="s">
        <v>552</v>
      </c>
    </row>
    <row r="33" ht="12.75">
      <c r="B33" s="2021" t="s">
        <v>478</v>
      </c>
    </row>
    <row r="34" spans="2:3" ht="12.75">
      <c r="B34" s="2021"/>
      <c r="C34" s="2026" t="s">
        <v>282</v>
      </c>
    </row>
    <row r="35" spans="2:3" ht="12.75">
      <c r="B35" s="2021"/>
      <c r="C35" s="2026" t="s">
        <v>283</v>
      </c>
    </row>
    <row r="36" spans="2:3" ht="12.75">
      <c r="B36" s="2021"/>
      <c r="C36" s="2026" t="s">
        <v>284</v>
      </c>
    </row>
    <row r="37" spans="2:3" ht="12.75">
      <c r="B37" s="2021"/>
      <c r="C37" s="2026" t="s">
        <v>285</v>
      </c>
    </row>
    <row r="38" spans="2:3" ht="12.75">
      <c r="B38" s="2021"/>
      <c r="C38" s="2026" t="s">
        <v>293</v>
      </c>
    </row>
    <row r="39" spans="2:3" ht="12.75">
      <c r="B39" s="2021"/>
      <c r="C39" s="2026" t="s">
        <v>297</v>
      </c>
    </row>
    <row r="40" spans="2:3" ht="12.75">
      <c r="B40" s="2021"/>
      <c r="C40" s="2026" t="s">
        <v>1676</v>
      </c>
    </row>
    <row r="41" spans="2:3" ht="12.75">
      <c r="B41" s="2021"/>
      <c r="C41" s="2026" t="s">
        <v>1677</v>
      </c>
    </row>
    <row r="42" spans="2:3" ht="12.75">
      <c r="B42" s="2021"/>
      <c r="C42" s="2026" t="s">
        <v>1275</v>
      </c>
    </row>
    <row r="43" spans="2:3" ht="12.75">
      <c r="B43" s="2021"/>
      <c r="C43" s="2026" t="s">
        <v>1678</v>
      </c>
    </row>
    <row r="44" spans="2:3" ht="14.25" customHeight="1">
      <c r="B44" s="2021"/>
      <c r="C44" s="2026" t="s">
        <v>1492</v>
      </c>
    </row>
    <row r="45" spans="2:3" ht="12.75">
      <c r="B45" s="2021"/>
      <c r="C45" s="2026" t="s">
        <v>1493</v>
      </c>
    </row>
    <row r="46" spans="2:3" ht="12.75">
      <c r="B46" s="2021"/>
      <c r="C46" s="2026" t="s">
        <v>1278</v>
      </c>
    </row>
    <row r="47" ht="12.75">
      <c r="C47" s="2026" t="s">
        <v>1279</v>
      </c>
    </row>
    <row r="48" ht="12.75">
      <c r="C48" s="2026" t="s">
        <v>1281</v>
      </c>
    </row>
    <row r="49" ht="12.75">
      <c r="B49" t="s">
        <v>479</v>
      </c>
    </row>
    <row r="50" ht="12.75">
      <c r="A50" s="2016" t="s">
        <v>544</v>
      </c>
    </row>
    <row r="53" ht="12.75">
      <c r="A53" t="s">
        <v>280</v>
      </c>
    </row>
    <row r="55" ht="12.75">
      <c r="A55" t="s">
        <v>366</v>
      </c>
    </row>
  </sheetData>
  <printOptions/>
  <pageMargins left="0.39" right="0.41" top="1" bottom="1" header="0.5" footer="0.5"/>
  <pageSetup horizontalDpi="600" verticalDpi="600" orientation="portrait" paperSize="9" r:id="rId1"/>
  <headerFooter alignWithMargins="0">
    <oddHeader>&amp;C&amp;"Arial CE,Félkövér"&amp;20PÉNZÜGYI BESZÁMOLÓ 2005</oddHeader>
  </headerFooter>
</worksheet>
</file>

<file path=xl/worksheets/sheet66.xml><?xml version="1.0" encoding="utf-8"?>
<worksheet xmlns="http://schemas.openxmlformats.org/spreadsheetml/2006/main" xmlns:r="http://schemas.openxmlformats.org/officeDocument/2006/relationships">
  <dimension ref="A1:J34"/>
  <sheetViews>
    <sheetView workbookViewId="0" topLeftCell="A4">
      <selection activeCell="G39" sqref="G39"/>
    </sheetView>
  </sheetViews>
  <sheetFormatPr defaultColWidth="9.00390625" defaultRowHeight="12.75"/>
  <cols>
    <col min="1" max="5" width="9.125" style="2023" customWidth="1"/>
    <col min="6" max="6" width="11.125" style="2023" customWidth="1"/>
    <col min="7" max="7" width="17.375" style="2023" bestFit="1" customWidth="1"/>
    <col min="8" max="9" width="9.125" style="2023" customWidth="1"/>
    <col min="10" max="10" width="32.625" style="2023" customWidth="1"/>
    <col min="11" max="16384" width="9.125" style="2023" customWidth="1"/>
  </cols>
  <sheetData>
    <row r="1" spans="1:7" ht="12.75">
      <c r="A1" s="2022" t="s">
        <v>507</v>
      </c>
      <c r="G1" s="2022" t="s">
        <v>502</v>
      </c>
    </row>
    <row r="2" spans="1:10" ht="12.75">
      <c r="A2" s="2024" t="s">
        <v>273</v>
      </c>
      <c r="B2" s="2025" t="s">
        <v>1365</v>
      </c>
      <c r="C2" s="2026"/>
      <c r="D2" s="2027"/>
      <c r="E2" s="2027"/>
      <c r="F2" s="2028"/>
      <c r="G2" s="2562" t="s">
        <v>1366</v>
      </c>
      <c r="H2" s="2564" t="s">
        <v>1367</v>
      </c>
      <c r="I2" s="2028"/>
      <c r="J2" s="2564" t="s">
        <v>423</v>
      </c>
    </row>
    <row r="3" spans="1:10" ht="12.75">
      <c r="A3" s="2024" t="s">
        <v>274</v>
      </c>
      <c r="B3" s="2025" t="s">
        <v>472</v>
      </c>
      <c r="C3" s="2029"/>
      <c r="D3" s="2026"/>
      <c r="E3" s="2026"/>
      <c r="G3" s="2563"/>
      <c r="H3" s="2565"/>
      <c r="J3" s="2565"/>
    </row>
    <row r="4" spans="1:4" ht="12.75">
      <c r="A4" s="2024" t="s">
        <v>730</v>
      </c>
      <c r="B4" s="2025" t="s">
        <v>1368</v>
      </c>
      <c r="C4" s="2029"/>
      <c r="D4" s="2026"/>
    </row>
    <row r="5" spans="1:4" ht="12.75">
      <c r="A5" s="2024" t="s">
        <v>27</v>
      </c>
      <c r="B5" s="2025" t="s">
        <v>1369</v>
      </c>
      <c r="C5" s="2029"/>
      <c r="D5" s="2030"/>
    </row>
    <row r="6" spans="1:10" ht="12.75">
      <c r="A6" s="2024" t="s">
        <v>28</v>
      </c>
      <c r="B6" s="2025" t="s">
        <v>1370</v>
      </c>
      <c r="C6" s="2029"/>
      <c r="D6" s="2030"/>
      <c r="E6" s="2027"/>
      <c r="F6" s="2028"/>
      <c r="G6" s="2562" t="s">
        <v>1706</v>
      </c>
      <c r="H6" s="2564" t="s">
        <v>1367</v>
      </c>
      <c r="I6" s="2028"/>
      <c r="J6" s="2564" t="s">
        <v>694</v>
      </c>
    </row>
    <row r="7" spans="1:10" ht="12.75">
      <c r="A7" s="2024" t="s">
        <v>29</v>
      </c>
      <c r="B7" s="2025" t="s">
        <v>1371</v>
      </c>
      <c r="C7" s="2029"/>
      <c r="D7" s="2031"/>
      <c r="E7" s="2026"/>
      <c r="G7" s="2563"/>
      <c r="H7" s="2565"/>
      <c r="J7" s="2565"/>
    </row>
    <row r="8" spans="1:5" ht="12.75">
      <c r="A8" s="2024" t="s">
        <v>1753</v>
      </c>
      <c r="B8" s="2025" t="s">
        <v>1372</v>
      </c>
      <c r="C8" s="2029"/>
      <c r="D8" s="2031"/>
      <c r="E8" s="2026"/>
    </row>
    <row r="9" spans="1:5" ht="12.75">
      <c r="A9" s="2024" t="s">
        <v>1754</v>
      </c>
      <c r="B9" s="2025" t="s">
        <v>1373</v>
      </c>
      <c r="C9" s="2032"/>
      <c r="D9" s="2031"/>
      <c r="E9" s="2030"/>
    </row>
    <row r="10" spans="1:10" ht="12.75">
      <c r="A10" s="2024" t="s">
        <v>1284</v>
      </c>
      <c r="B10" s="2025" t="s">
        <v>1374</v>
      </c>
      <c r="C10" s="2033"/>
      <c r="D10" s="2031"/>
      <c r="E10" s="2030"/>
      <c r="F10" s="2028"/>
      <c r="G10" s="2562" t="s">
        <v>1169</v>
      </c>
      <c r="H10" s="2564" t="s">
        <v>1367</v>
      </c>
      <c r="I10" s="2028"/>
      <c r="J10" s="2564" t="s">
        <v>1411</v>
      </c>
    </row>
    <row r="11" spans="1:10" ht="12.75">
      <c r="A11" s="2024" t="s">
        <v>729</v>
      </c>
      <c r="B11" s="2025" t="s">
        <v>1375</v>
      </c>
      <c r="C11" s="2031"/>
      <c r="D11" s="2031"/>
      <c r="E11" s="2031"/>
      <c r="G11" s="2563"/>
      <c r="H11" s="2565" t="s">
        <v>1367</v>
      </c>
      <c r="J11" s="2565"/>
    </row>
    <row r="12" spans="1:5" ht="12.75">
      <c r="A12" s="2024" t="s">
        <v>1755</v>
      </c>
      <c r="B12" s="2025" t="s">
        <v>1376</v>
      </c>
      <c r="C12" s="2031"/>
      <c r="D12" s="2031"/>
      <c r="E12" s="2031"/>
    </row>
    <row r="13" spans="1:5" ht="12.75">
      <c r="A13" s="2024" t="s">
        <v>1756</v>
      </c>
      <c r="B13" s="2025" t="s">
        <v>1377</v>
      </c>
      <c r="C13" s="2031"/>
      <c r="D13" s="2031"/>
      <c r="E13" s="2031"/>
    </row>
    <row r="14" spans="1:7" ht="12.75">
      <c r="A14" s="2024" t="s">
        <v>1757</v>
      </c>
      <c r="B14" s="2025" t="s">
        <v>1378</v>
      </c>
      <c r="C14" s="2031"/>
      <c r="D14" s="2031"/>
      <c r="E14" s="2031"/>
      <c r="G14" s="2022" t="s">
        <v>1727</v>
      </c>
    </row>
    <row r="15" spans="1:8" ht="12.75">
      <c r="A15" s="2024" t="s">
        <v>1758</v>
      </c>
      <c r="B15" s="2025" t="s">
        <v>1379</v>
      </c>
      <c r="C15" s="2031"/>
      <c r="D15" s="2031"/>
      <c r="E15" s="2031"/>
      <c r="G15" s="2034" t="s">
        <v>282</v>
      </c>
      <c r="H15" s="2023" t="s">
        <v>1380</v>
      </c>
    </row>
    <row r="16" spans="1:8" ht="12.75">
      <c r="A16" s="2035"/>
      <c r="B16" s="2035"/>
      <c r="C16" s="2031"/>
      <c r="D16" s="2031"/>
      <c r="E16" s="2031"/>
      <c r="G16" s="2034" t="s">
        <v>283</v>
      </c>
      <c r="H16" s="2023" t="s">
        <v>1381</v>
      </c>
    </row>
    <row r="17" spans="1:8" ht="12.75">
      <c r="A17" s="2024" t="s">
        <v>1759</v>
      </c>
      <c r="B17" s="2025" t="s">
        <v>1382</v>
      </c>
      <c r="C17" s="2031"/>
      <c r="D17" s="2031"/>
      <c r="E17" s="2031"/>
      <c r="G17" s="2034" t="s">
        <v>284</v>
      </c>
      <c r="H17" s="2023" t="s">
        <v>1383</v>
      </c>
    </row>
    <row r="18" spans="1:8" ht="12.75">
      <c r="A18" s="2024" t="s">
        <v>1760</v>
      </c>
      <c r="B18" s="2025" t="s">
        <v>1384</v>
      </c>
      <c r="C18" s="2032"/>
      <c r="D18" s="2028"/>
      <c r="E18" s="2031"/>
      <c r="G18" s="2034" t="s">
        <v>285</v>
      </c>
      <c r="H18" s="2023" t="s">
        <v>1385</v>
      </c>
    </row>
    <row r="19" spans="1:8" ht="12.75">
      <c r="A19" s="2024" t="s">
        <v>1761</v>
      </c>
      <c r="B19" s="2025" t="s">
        <v>1386</v>
      </c>
      <c r="C19" s="2031"/>
      <c r="D19" s="2026"/>
      <c r="E19" s="2031"/>
      <c r="G19" s="2034" t="s">
        <v>293</v>
      </c>
      <c r="H19" s="2023" t="s">
        <v>1387</v>
      </c>
    </row>
    <row r="20" spans="1:8" ht="12.75">
      <c r="A20" s="2035"/>
      <c r="B20" s="2035"/>
      <c r="C20" s="2031"/>
      <c r="D20" s="2026"/>
      <c r="E20" s="2031"/>
      <c r="G20" s="2034" t="s">
        <v>297</v>
      </c>
      <c r="H20" s="2023" t="s">
        <v>1388</v>
      </c>
    </row>
    <row r="21" spans="1:8" ht="12.75">
      <c r="A21" s="2024" t="s">
        <v>24</v>
      </c>
      <c r="B21" s="2025" t="s">
        <v>1389</v>
      </c>
      <c r="C21" s="2031"/>
      <c r="D21" s="2026"/>
      <c r="E21" s="2031"/>
      <c r="G21" s="2034" t="s">
        <v>1676</v>
      </c>
      <c r="H21" s="2023" t="s">
        <v>505</v>
      </c>
    </row>
    <row r="22" spans="1:8" ht="12.75">
      <c r="A22" s="2024" t="s">
        <v>1760</v>
      </c>
      <c r="B22" s="2025" t="s">
        <v>1384</v>
      </c>
      <c r="C22" s="2032"/>
      <c r="D22" s="2027"/>
      <c r="E22" s="2028"/>
      <c r="G22" s="2034" t="s">
        <v>1677</v>
      </c>
      <c r="H22" s="2023" t="s">
        <v>229</v>
      </c>
    </row>
    <row r="23" spans="1:8" ht="12.75">
      <c r="A23" s="2024" t="s">
        <v>1761</v>
      </c>
      <c r="B23" s="2025" t="s">
        <v>1386</v>
      </c>
      <c r="C23" s="2031"/>
      <c r="G23" s="2034" t="s">
        <v>1275</v>
      </c>
      <c r="H23" s="2023" t="s">
        <v>1390</v>
      </c>
    </row>
    <row r="24" spans="3:8" ht="12.75">
      <c r="C24" s="2031"/>
      <c r="G24" s="2034" t="s">
        <v>1678</v>
      </c>
      <c r="H24" s="2023" t="s">
        <v>1449</v>
      </c>
    </row>
    <row r="25" spans="3:8" ht="12.75">
      <c r="C25" s="2031"/>
      <c r="G25" s="2034" t="s">
        <v>1492</v>
      </c>
      <c r="H25" s="2023" t="s">
        <v>1391</v>
      </c>
    </row>
    <row r="26" spans="3:8" ht="12.75">
      <c r="C26" s="2031"/>
      <c r="G26" s="2034" t="s">
        <v>1493</v>
      </c>
      <c r="H26" s="2023" t="s">
        <v>1392</v>
      </c>
    </row>
    <row r="27" spans="3:8" ht="12.75">
      <c r="C27" s="2031"/>
      <c r="G27" s="2034" t="s">
        <v>1278</v>
      </c>
      <c r="H27" s="2023" t="s">
        <v>1393</v>
      </c>
    </row>
    <row r="28" spans="3:8" ht="12.75">
      <c r="C28" s="2031"/>
      <c r="G28" s="2034" t="s">
        <v>1279</v>
      </c>
      <c r="H28" s="2023" t="s">
        <v>1394</v>
      </c>
    </row>
    <row r="29" spans="3:8" ht="12.75">
      <c r="C29" s="2026"/>
      <c r="G29" s="2034" t="s">
        <v>1281</v>
      </c>
      <c r="H29" s="2023" t="s">
        <v>1395</v>
      </c>
    </row>
    <row r="30" spans="3:6" ht="12.75">
      <c r="C30" s="2026"/>
      <c r="D30" s="2026"/>
      <c r="E30" s="2026"/>
      <c r="F30" s="2026"/>
    </row>
    <row r="31" ht="12.75">
      <c r="C31" s="2026"/>
    </row>
    <row r="32" spans="3:6" ht="12.75">
      <c r="C32" s="2026"/>
      <c r="D32" s="2026"/>
      <c r="E32" s="2026"/>
      <c r="F32" s="2026"/>
    </row>
    <row r="33" ht="15.75">
      <c r="G33" s="2036" t="s">
        <v>1396</v>
      </c>
    </row>
    <row r="34" ht="12.75">
      <c r="G34" s="2026"/>
    </row>
    <row r="53" ht="12.75"/>
    <row r="54" ht="12.75"/>
    <row r="55" ht="12.75"/>
    <row r="56" ht="12.75"/>
    <row r="57" ht="12.75"/>
    <row r="58" ht="12.75"/>
    <row r="59" ht="12.75"/>
    <row r="60" ht="12.75"/>
    <row r="61" ht="12.75"/>
    <row r="64" ht="12.75"/>
    <row r="65" ht="12.75"/>
    <row r="66" ht="12.75"/>
    <row r="67" ht="12.75"/>
    <row r="71" ht="12.75"/>
    <row r="74" ht="12.75"/>
    <row r="77" ht="12.75"/>
  </sheetData>
  <mergeCells count="9">
    <mergeCell ref="G10:G11"/>
    <mergeCell ref="J10:J11"/>
    <mergeCell ref="H10:H11"/>
    <mergeCell ref="G2:G3"/>
    <mergeCell ref="H2:H3"/>
    <mergeCell ref="J2:J3"/>
    <mergeCell ref="G6:G7"/>
    <mergeCell ref="H6:H7"/>
    <mergeCell ref="J6:J7"/>
  </mergeCells>
  <printOptions/>
  <pageMargins left="0.75" right="0.75" top="0.63" bottom="0.61" header="0.38" footer="0.4"/>
  <pageSetup horizontalDpi="600" verticalDpi="600" orientation="landscape" paperSize="9" r:id="rId2"/>
  <drawing r:id="rId1"/>
</worksheet>
</file>

<file path=xl/worksheets/sheet67.xml><?xml version="1.0" encoding="utf-8"?>
<worksheet xmlns="http://schemas.openxmlformats.org/spreadsheetml/2006/main" xmlns:r="http://schemas.openxmlformats.org/officeDocument/2006/relationships">
  <sheetPr codeName="Munka41"/>
  <dimension ref="A1:C37"/>
  <sheetViews>
    <sheetView workbookViewId="0" topLeftCell="A1">
      <selection activeCell="C17" sqref="C17:C18"/>
    </sheetView>
  </sheetViews>
  <sheetFormatPr defaultColWidth="9.00390625" defaultRowHeight="12.75"/>
  <cols>
    <col min="1" max="1" width="10.625" style="0" customWidth="1"/>
    <col min="10" max="10" width="12.00390625" style="0" customWidth="1"/>
  </cols>
  <sheetData>
    <row r="1" ht="12.75">
      <c r="A1" s="2016" t="s">
        <v>475</v>
      </c>
    </row>
    <row r="2" spans="1:2" ht="12.75">
      <c r="A2" s="2016"/>
      <c r="B2" t="s">
        <v>482</v>
      </c>
    </row>
    <row r="3" ht="12.75">
      <c r="B3" s="2016" t="s">
        <v>480</v>
      </c>
    </row>
    <row r="4" ht="12.75">
      <c r="B4" t="s">
        <v>1345</v>
      </c>
    </row>
    <row r="5" ht="12.75">
      <c r="B5" t="s">
        <v>549</v>
      </c>
    </row>
    <row r="6" ht="12.75">
      <c r="B6" t="s">
        <v>545</v>
      </c>
    </row>
    <row r="7" ht="12.75">
      <c r="B7" t="s">
        <v>546</v>
      </c>
    </row>
    <row r="8" ht="12.75">
      <c r="B8" s="2019" t="s">
        <v>547</v>
      </c>
    </row>
    <row r="9" ht="12.75">
      <c r="B9" t="s">
        <v>548</v>
      </c>
    </row>
    <row r="10" ht="12.75">
      <c r="B10" t="s">
        <v>550</v>
      </c>
    </row>
    <row r="11" ht="12.75">
      <c r="B11" s="2016" t="s">
        <v>481</v>
      </c>
    </row>
    <row r="12" ht="12.75">
      <c r="B12" s="2021" t="s">
        <v>1510</v>
      </c>
    </row>
    <row r="13" ht="12.75">
      <c r="B13" s="2021" t="s">
        <v>477</v>
      </c>
    </row>
    <row r="14" ht="12.75">
      <c r="B14" s="2021" t="s">
        <v>552</v>
      </c>
    </row>
    <row r="15" ht="12.75">
      <c r="B15" s="2021" t="s">
        <v>478</v>
      </c>
    </row>
    <row r="16" spans="2:3" ht="12.75">
      <c r="B16" s="2021"/>
      <c r="C16" s="2026" t="s">
        <v>282</v>
      </c>
    </row>
    <row r="17" spans="2:3" ht="12.75">
      <c r="B17" s="2021"/>
      <c r="C17" s="2026" t="s">
        <v>283</v>
      </c>
    </row>
    <row r="18" spans="2:3" ht="12.75">
      <c r="B18" s="2021"/>
      <c r="C18" s="2026" t="s">
        <v>284</v>
      </c>
    </row>
    <row r="19" spans="2:3" ht="12.75">
      <c r="B19" s="2021"/>
      <c r="C19" s="2026" t="s">
        <v>285</v>
      </c>
    </row>
    <row r="20" spans="2:3" ht="12.75">
      <c r="B20" s="2021"/>
      <c r="C20" s="2026" t="s">
        <v>293</v>
      </c>
    </row>
    <row r="21" spans="2:3" ht="12.75">
      <c r="B21" s="2021"/>
      <c r="C21" s="2026" t="s">
        <v>297</v>
      </c>
    </row>
    <row r="22" spans="2:3" ht="12.75">
      <c r="B22" s="2021"/>
      <c r="C22" s="2026" t="s">
        <v>1676</v>
      </c>
    </row>
    <row r="23" spans="2:3" ht="12.75">
      <c r="B23" s="2021"/>
      <c r="C23" s="2026" t="s">
        <v>1677</v>
      </c>
    </row>
    <row r="24" spans="2:3" ht="12.75">
      <c r="B24" s="2021"/>
      <c r="C24" s="2026" t="s">
        <v>1275</v>
      </c>
    </row>
    <row r="25" spans="2:3" ht="12.75">
      <c r="B25" s="2021"/>
      <c r="C25" s="2026" t="s">
        <v>1678</v>
      </c>
    </row>
    <row r="26" spans="2:3" ht="14.25" customHeight="1">
      <c r="B26" s="2021"/>
      <c r="C26" s="2026" t="s">
        <v>1492</v>
      </c>
    </row>
    <row r="27" spans="2:3" ht="12.75">
      <c r="B27" s="2021"/>
      <c r="C27" s="2026" t="s">
        <v>1493</v>
      </c>
    </row>
    <row r="28" spans="2:3" ht="12.75">
      <c r="B28" s="2021"/>
      <c r="C28" s="2026" t="s">
        <v>1278</v>
      </c>
    </row>
    <row r="29" ht="12.75">
      <c r="C29" s="2026" t="s">
        <v>1279</v>
      </c>
    </row>
    <row r="30" ht="12.75">
      <c r="C30" s="2026" t="s">
        <v>1281</v>
      </c>
    </row>
    <row r="31" ht="12.75">
      <c r="B31" t="s">
        <v>479</v>
      </c>
    </row>
    <row r="32" ht="12.75">
      <c r="A32" s="2016" t="s">
        <v>544</v>
      </c>
    </row>
    <row r="35" ht="12.75">
      <c r="A35" t="s">
        <v>280</v>
      </c>
    </row>
    <row r="37" ht="12.75">
      <c r="A37" t="s">
        <v>366</v>
      </c>
    </row>
  </sheetData>
  <printOptions/>
  <pageMargins left="0.39" right="0.41" top="1" bottom="1" header="0.5" footer="0.5"/>
  <pageSetup horizontalDpi="600" verticalDpi="600" orientation="portrait" paperSize="9" r:id="rId1"/>
  <headerFooter alignWithMargins="0">
    <oddHeader>&amp;C&amp;"Arial CE,Félkövér"&amp;20PÉNZÜGYI BESZÁMOLÓ 2005</oddHeader>
  </headerFooter>
</worksheet>
</file>

<file path=xl/worksheets/sheet68.xml><?xml version="1.0" encoding="utf-8"?>
<worksheet xmlns="http://schemas.openxmlformats.org/spreadsheetml/2006/main" xmlns:r="http://schemas.openxmlformats.org/officeDocument/2006/relationships">
  <sheetPr codeName="Munka8"/>
  <dimension ref="A1:X115"/>
  <sheetViews>
    <sheetView workbookViewId="0" topLeftCell="D1">
      <selection activeCell="O25" sqref="O25"/>
    </sheetView>
  </sheetViews>
  <sheetFormatPr defaultColWidth="9.00390625" defaultRowHeight="12.75"/>
  <cols>
    <col min="1" max="1" width="11.00390625" style="0" customWidth="1"/>
    <col min="2" max="2" width="11.25390625" style="0" customWidth="1"/>
    <col min="3" max="4" width="7.625" style="0" customWidth="1"/>
    <col min="5" max="5" width="10.00390625" style="0" bestFit="1" customWidth="1"/>
  </cols>
  <sheetData>
    <row r="1" spans="1:5" ht="12.75">
      <c r="A1" s="319">
        <f>'L.A.I'!A7</f>
        <v>0</v>
      </c>
      <c r="B1" s="319">
        <f>'L.A.I'!A10</f>
        <v>0</v>
      </c>
      <c r="C1" s="847"/>
      <c r="D1" s="319">
        <v>111</v>
      </c>
      <c r="E1" s="319" t="s">
        <v>273</v>
      </c>
    </row>
    <row r="2" spans="1:5" ht="12.75">
      <c r="A2" s="319">
        <f>'L.A.I'!A12</f>
        <v>0</v>
      </c>
      <c r="B2" s="319">
        <f>'L.A.I'!A15</f>
        <v>0</v>
      </c>
      <c r="C2" s="847"/>
      <c r="D2" s="319">
        <v>112</v>
      </c>
      <c r="E2" s="319" t="s">
        <v>273</v>
      </c>
    </row>
    <row r="3" spans="1:5" ht="12.75">
      <c r="A3" s="319">
        <f>'L.A.I'!A17</f>
        <v>0</v>
      </c>
      <c r="B3" s="319">
        <f>'L.A.I'!A20</f>
        <v>0</v>
      </c>
      <c r="C3" s="847"/>
      <c r="D3" s="319">
        <v>113</v>
      </c>
      <c r="E3" s="319" t="s">
        <v>273</v>
      </c>
    </row>
    <row r="4" spans="1:5" ht="12.75">
      <c r="A4" s="319">
        <f>'L.A.I'!A22</f>
        <v>0</v>
      </c>
      <c r="B4" s="319">
        <f>'L.A.I'!A25</f>
        <v>0</v>
      </c>
      <c r="C4" s="847"/>
      <c r="D4" s="319">
        <v>114</v>
      </c>
      <c r="E4" s="319" t="s">
        <v>273</v>
      </c>
    </row>
    <row r="5" spans="1:5" ht="12.75">
      <c r="A5" s="319">
        <f>'L.A.I'!A27</f>
        <v>0</v>
      </c>
      <c r="B5" s="319">
        <f>'L.A.I'!A30</f>
        <v>0</v>
      </c>
      <c r="C5" s="847"/>
      <c r="D5" s="319">
        <v>115</v>
      </c>
      <c r="E5" s="319" t="s">
        <v>273</v>
      </c>
    </row>
    <row r="6" spans="1:19" ht="12.75">
      <c r="A6" s="319">
        <f>'L.A.II'!A7</f>
        <v>0</v>
      </c>
      <c r="B6" s="319">
        <f>'L.A.II'!A10</f>
        <v>0</v>
      </c>
      <c r="C6" s="847"/>
      <c r="D6" s="319">
        <v>12</v>
      </c>
      <c r="E6" s="319" t="s">
        <v>274</v>
      </c>
      <c r="H6" s="850"/>
      <c r="I6" s="122"/>
      <c r="J6" s="122"/>
      <c r="K6" s="122"/>
      <c r="L6" s="849"/>
      <c r="M6" s="122"/>
      <c r="N6" s="122"/>
      <c r="O6" s="850"/>
      <c r="P6" s="122"/>
      <c r="Q6" s="122"/>
      <c r="R6" s="122"/>
      <c r="S6" s="122"/>
    </row>
    <row r="7" spans="1:19" ht="12.75">
      <c r="A7" s="319">
        <f>'L.A.II'!A12</f>
        <v>0</v>
      </c>
      <c r="B7" s="319">
        <f>'L.A.II'!A15</f>
        <v>0</v>
      </c>
      <c r="C7" s="847"/>
      <c r="D7" s="319">
        <v>13</v>
      </c>
      <c r="E7" s="319" t="s">
        <v>274</v>
      </c>
      <c r="H7" s="850"/>
      <c r="I7" s="122"/>
      <c r="J7" s="122"/>
      <c r="K7" s="122"/>
      <c r="L7" s="849"/>
      <c r="M7" s="122"/>
      <c r="N7" s="122"/>
      <c r="O7" s="850"/>
      <c r="P7" s="122"/>
      <c r="Q7" s="122"/>
      <c r="R7" s="122"/>
      <c r="S7" s="122"/>
    </row>
    <row r="8" spans="1:19" ht="12.75">
      <c r="A8" s="319">
        <f>'L.A.II'!A17</f>
        <v>0</v>
      </c>
      <c r="B8" s="319">
        <f>'L.A.II'!A20</f>
        <v>0</v>
      </c>
      <c r="C8" s="847"/>
      <c r="D8" s="319">
        <v>14</v>
      </c>
      <c r="E8" s="319" t="s">
        <v>274</v>
      </c>
      <c r="H8" s="850"/>
      <c r="I8" s="122"/>
      <c r="J8" s="122"/>
      <c r="K8" s="122"/>
      <c r="L8" s="849"/>
      <c r="M8" s="122"/>
      <c r="N8" s="122"/>
      <c r="O8" s="850"/>
      <c r="P8" s="122"/>
      <c r="Q8" s="122"/>
      <c r="R8" s="122"/>
      <c r="S8" s="122"/>
    </row>
    <row r="9" spans="1:19" ht="12.75">
      <c r="A9" s="319">
        <f>'L.A.II'!A22</f>
        <v>0</v>
      </c>
      <c r="B9" s="319">
        <f>'L.A.II'!A25</f>
        <v>0</v>
      </c>
      <c r="C9" s="847"/>
      <c r="D9" s="319">
        <v>15</v>
      </c>
      <c r="E9" s="319" t="s">
        <v>274</v>
      </c>
      <c r="H9" s="850"/>
      <c r="I9" s="122"/>
      <c r="J9" s="122"/>
      <c r="K9" s="122"/>
      <c r="L9" s="849"/>
      <c r="M9" s="122"/>
      <c r="N9" s="122"/>
      <c r="O9" s="850"/>
      <c r="P9" s="122"/>
      <c r="Q9" s="122"/>
      <c r="R9" s="122"/>
      <c r="S9" s="122"/>
    </row>
    <row r="10" spans="1:19" ht="12.75">
      <c r="A10" s="319"/>
      <c r="B10" s="319"/>
      <c r="C10" s="847"/>
      <c r="D10" s="319"/>
      <c r="E10" s="319" t="s">
        <v>274</v>
      </c>
      <c r="H10" s="850"/>
      <c r="I10" s="122"/>
      <c r="J10" s="122"/>
      <c r="K10" s="122"/>
      <c r="L10" s="122"/>
      <c r="M10" s="122"/>
      <c r="N10" s="122"/>
      <c r="O10" s="850"/>
      <c r="P10" s="122"/>
      <c r="Q10" s="122"/>
      <c r="R10" s="122"/>
      <c r="S10" s="122"/>
    </row>
    <row r="11" spans="1:5" ht="12.75">
      <c r="A11" s="319"/>
      <c r="B11" s="319"/>
      <c r="C11" s="847"/>
      <c r="D11" s="319"/>
      <c r="E11" s="319"/>
    </row>
    <row r="15" spans="1:24" ht="12.75">
      <c r="A15" s="848">
        <v>1</v>
      </c>
      <c r="B15" s="848">
        <v>2</v>
      </c>
      <c r="C15" s="848">
        <v>3</v>
      </c>
      <c r="D15" s="848">
        <v>4</v>
      </c>
      <c r="E15" s="848">
        <v>5</v>
      </c>
      <c r="F15" s="848">
        <v>6</v>
      </c>
      <c r="G15" s="848">
        <v>7</v>
      </c>
      <c r="H15" s="848">
        <v>8</v>
      </c>
      <c r="I15" s="848">
        <v>9</v>
      </c>
      <c r="J15" s="848">
        <v>10</v>
      </c>
      <c r="K15" s="848">
        <v>11</v>
      </c>
      <c r="L15" s="848">
        <v>12</v>
      </c>
      <c r="M15" s="848">
        <v>13</v>
      </c>
      <c r="N15" s="848">
        <v>14</v>
      </c>
      <c r="O15" s="848">
        <v>15</v>
      </c>
      <c r="P15" s="848">
        <v>16</v>
      </c>
      <c r="Q15" s="848">
        <v>17</v>
      </c>
      <c r="R15" s="848">
        <v>18</v>
      </c>
      <c r="S15" s="848">
        <v>19</v>
      </c>
      <c r="T15" s="848">
        <v>20</v>
      </c>
      <c r="U15" s="848">
        <v>21</v>
      </c>
      <c r="V15" s="848">
        <v>22</v>
      </c>
      <c r="W15" s="848">
        <v>23</v>
      </c>
      <c r="X15" s="848">
        <v>24</v>
      </c>
    </row>
    <row r="16" spans="1:17" ht="12.75">
      <c r="A16" t="s">
        <v>1056</v>
      </c>
      <c r="B16">
        <v>8</v>
      </c>
      <c r="C16">
        <f>'L.A.I'!A32</f>
        <v>0</v>
      </c>
      <c r="D16">
        <f>'L.A.I'!A35</f>
        <v>0</v>
      </c>
      <c r="E16" t="s">
        <v>273</v>
      </c>
      <c r="F16">
        <v>3</v>
      </c>
      <c r="G16">
        <v>13</v>
      </c>
      <c r="H16">
        <v>7</v>
      </c>
      <c r="I16">
        <v>17</v>
      </c>
      <c r="J16">
        <v>1</v>
      </c>
      <c r="K16">
        <v>2</v>
      </c>
      <c r="L16">
        <v>1</v>
      </c>
      <c r="M16">
        <v>7</v>
      </c>
      <c r="N16">
        <v>12</v>
      </c>
      <c r="O16">
        <v>17</v>
      </c>
      <c r="P16">
        <v>18</v>
      </c>
      <c r="Q16">
        <v>19</v>
      </c>
    </row>
    <row r="17" spans="1:17" ht="12.75">
      <c r="A17" t="s">
        <v>1056</v>
      </c>
      <c r="B17">
        <v>9</v>
      </c>
      <c r="C17">
        <f>'L.A.I'!A37</f>
        <v>0</v>
      </c>
      <c r="D17">
        <f>'L.A.I'!A40</f>
        <v>0</v>
      </c>
      <c r="E17" t="s">
        <v>273</v>
      </c>
      <c r="F17">
        <v>3</v>
      </c>
      <c r="G17">
        <v>13</v>
      </c>
      <c r="H17">
        <v>7</v>
      </c>
      <c r="I17">
        <v>17</v>
      </c>
      <c r="J17">
        <v>1</v>
      </c>
      <c r="K17">
        <v>2</v>
      </c>
      <c r="L17">
        <v>1</v>
      </c>
      <c r="M17">
        <v>7</v>
      </c>
      <c r="N17">
        <v>12</v>
      </c>
      <c r="O17">
        <v>17</v>
      </c>
      <c r="P17">
        <v>18</v>
      </c>
      <c r="Q17">
        <v>19</v>
      </c>
    </row>
    <row r="18" spans="1:17" ht="12.75">
      <c r="A18" t="s">
        <v>1056</v>
      </c>
      <c r="B18">
        <v>15</v>
      </c>
      <c r="C18">
        <f>'L.A.II'!A27</f>
        <v>0</v>
      </c>
      <c r="D18">
        <f>'L.A.II'!A30</f>
        <v>0</v>
      </c>
      <c r="E18" t="s">
        <v>274</v>
      </c>
      <c r="F18">
        <v>3</v>
      </c>
      <c r="G18">
        <v>13</v>
      </c>
      <c r="H18">
        <v>7</v>
      </c>
      <c r="I18">
        <v>17</v>
      </c>
      <c r="J18">
        <v>1</v>
      </c>
      <c r="K18">
        <v>2</v>
      </c>
      <c r="L18">
        <v>1</v>
      </c>
      <c r="M18">
        <v>7</v>
      </c>
      <c r="N18">
        <v>12</v>
      </c>
      <c r="O18">
        <v>17</v>
      </c>
      <c r="P18">
        <v>18</v>
      </c>
      <c r="Q18">
        <v>19</v>
      </c>
    </row>
    <row r="19" spans="1:17" ht="12.75">
      <c r="A19" t="s">
        <v>1056</v>
      </c>
      <c r="B19">
        <v>16</v>
      </c>
      <c r="C19">
        <f>'L.A.II'!A32</f>
        <v>0</v>
      </c>
      <c r="D19">
        <f>'L.A.II'!A35</f>
        <v>0</v>
      </c>
      <c r="E19" t="s">
        <v>274</v>
      </c>
      <c r="F19">
        <v>3</v>
      </c>
      <c r="G19">
        <v>0</v>
      </c>
      <c r="H19">
        <v>7</v>
      </c>
      <c r="I19">
        <v>0</v>
      </c>
      <c r="J19">
        <v>1</v>
      </c>
      <c r="K19">
        <v>2</v>
      </c>
      <c r="L19">
        <v>1</v>
      </c>
      <c r="M19">
        <v>7</v>
      </c>
      <c r="N19">
        <v>12</v>
      </c>
      <c r="O19">
        <v>17</v>
      </c>
      <c r="P19">
        <v>18</v>
      </c>
      <c r="Q19">
        <v>19</v>
      </c>
    </row>
    <row r="20" spans="1:17" ht="12.75">
      <c r="A20" t="s">
        <v>1056</v>
      </c>
      <c r="B20">
        <v>17</v>
      </c>
      <c r="C20">
        <f>'L.A.II'!A37</f>
        <v>0</v>
      </c>
      <c r="D20">
        <f>'L.A.II'!A40</f>
        <v>0</v>
      </c>
      <c r="E20" t="s">
        <v>274</v>
      </c>
      <c r="F20">
        <v>3</v>
      </c>
      <c r="G20">
        <v>0</v>
      </c>
      <c r="H20">
        <v>7</v>
      </c>
      <c r="I20">
        <v>0</v>
      </c>
      <c r="J20">
        <v>1</v>
      </c>
      <c r="K20">
        <v>2</v>
      </c>
      <c r="L20">
        <v>1</v>
      </c>
      <c r="M20">
        <v>7</v>
      </c>
      <c r="N20">
        <v>12</v>
      </c>
      <c r="O20">
        <v>17</v>
      </c>
      <c r="P20">
        <v>18</v>
      </c>
      <c r="Q20">
        <v>19</v>
      </c>
    </row>
    <row r="21" spans="1:14" ht="12.75">
      <c r="A21" t="s">
        <v>1056</v>
      </c>
      <c r="B21">
        <v>19</v>
      </c>
      <c r="C21">
        <f>'L.A.III'!A7</f>
        <v>0</v>
      </c>
      <c r="D21">
        <f>'L.A.III'!A10</f>
        <v>0</v>
      </c>
      <c r="E21" t="s">
        <v>730</v>
      </c>
      <c r="F21">
        <v>3</v>
      </c>
      <c r="G21">
        <v>8</v>
      </c>
      <c r="H21">
        <v>7</v>
      </c>
      <c r="I21">
        <v>13</v>
      </c>
      <c r="J21">
        <v>1</v>
      </c>
      <c r="K21">
        <v>2</v>
      </c>
      <c r="L21">
        <v>1</v>
      </c>
      <c r="M21">
        <v>14</v>
      </c>
      <c r="N21">
        <v>15</v>
      </c>
    </row>
    <row r="22" spans="1:14" ht="12.75">
      <c r="A22" t="s">
        <v>1056</v>
      </c>
      <c r="B22">
        <v>20</v>
      </c>
      <c r="C22">
        <f>'L.A.III'!A12</f>
        <v>0</v>
      </c>
      <c r="D22">
        <f>'L.A.III'!A15</f>
        <v>0</v>
      </c>
      <c r="E22" t="s">
        <v>730</v>
      </c>
      <c r="F22">
        <v>3</v>
      </c>
      <c r="G22">
        <v>8</v>
      </c>
      <c r="H22">
        <v>7</v>
      </c>
      <c r="I22">
        <v>13</v>
      </c>
      <c r="J22">
        <v>1</v>
      </c>
      <c r="K22">
        <v>2</v>
      </c>
      <c r="L22">
        <v>1</v>
      </c>
      <c r="M22">
        <v>14</v>
      </c>
      <c r="N22">
        <v>15</v>
      </c>
    </row>
    <row r="23" spans="1:14" ht="12.75">
      <c r="A23" t="s">
        <v>1056</v>
      </c>
      <c r="B23">
        <v>21</v>
      </c>
      <c r="C23">
        <f>'L.A.III'!A17</f>
        <v>0</v>
      </c>
      <c r="D23">
        <f>'L.A.III'!A20</f>
        <v>0</v>
      </c>
      <c r="E23" t="s">
        <v>730</v>
      </c>
      <c r="F23">
        <v>3</v>
      </c>
      <c r="G23">
        <v>8</v>
      </c>
      <c r="H23">
        <v>7</v>
      </c>
      <c r="I23">
        <v>13</v>
      </c>
      <c r="J23">
        <v>1</v>
      </c>
      <c r="K23">
        <v>2</v>
      </c>
      <c r="L23">
        <v>1</v>
      </c>
      <c r="M23">
        <v>14</v>
      </c>
      <c r="N23">
        <v>15</v>
      </c>
    </row>
    <row r="24" spans="1:14" ht="12.75">
      <c r="A24" t="s">
        <v>1056</v>
      </c>
      <c r="B24">
        <v>22</v>
      </c>
      <c r="C24">
        <f>'L.A.III'!A22</f>
        <v>0</v>
      </c>
      <c r="D24">
        <f>'L.A.III'!A25</f>
        <v>0</v>
      </c>
      <c r="E24" t="s">
        <v>730</v>
      </c>
      <c r="F24">
        <v>3</v>
      </c>
      <c r="G24">
        <v>8</v>
      </c>
      <c r="H24">
        <v>7</v>
      </c>
      <c r="I24">
        <v>13</v>
      </c>
      <c r="J24">
        <v>1</v>
      </c>
      <c r="K24">
        <v>2</v>
      </c>
      <c r="L24">
        <v>1</v>
      </c>
      <c r="M24">
        <v>14</v>
      </c>
      <c r="N24">
        <v>15</v>
      </c>
    </row>
    <row r="25" spans="1:14" ht="12.75">
      <c r="A25" t="s">
        <v>1056</v>
      </c>
      <c r="B25">
        <v>23</v>
      </c>
      <c r="C25">
        <f>'L.A.III'!A27</f>
        <v>0</v>
      </c>
      <c r="D25">
        <f>'L.A.III'!A30</f>
        <v>0</v>
      </c>
      <c r="E25" t="s">
        <v>730</v>
      </c>
      <c r="F25">
        <v>3</v>
      </c>
      <c r="G25">
        <v>8</v>
      </c>
      <c r="H25">
        <v>7</v>
      </c>
      <c r="I25">
        <v>13</v>
      </c>
      <c r="J25">
        <v>1</v>
      </c>
      <c r="K25">
        <v>2</v>
      </c>
      <c r="L25">
        <v>1</v>
      </c>
      <c r="M25">
        <v>14</v>
      </c>
      <c r="N25">
        <v>15</v>
      </c>
    </row>
    <row r="26" spans="1:14" ht="12.75">
      <c r="A26" t="s">
        <v>1056</v>
      </c>
      <c r="B26">
        <v>24</v>
      </c>
      <c r="C26">
        <f>'L.A.III'!A32</f>
        <v>0</v>
      </c>
      <c r="D26">
        <f>'L.A.III'!A35</f>
        <v>0</v>
      </c>
      <c r="E26" t="s">
        <v>730</v>
      </c>
      <c r="F26">
        <v>3</v>
      </c>
      <c r="G26">
        <v>8</v>
      </c>
      <c r="H26">
        <v>7</v>
      </c>
      <c r="I26">
        <v>13</v>
      </c>
      <c r="J26">
        <v>1</v>
      </c>
      <c r="K26">
        <v>2</v>
      </c>
      <c r="L26">
        <v>1</v>
      </c>
      <c r="M26">
        <v>14</v>
      </c>
      <c r="N26">
        <v>15</v>
      </c>
    </row>
    <row r="27" spans="1:14" ht="12.75">
      <c r="A27" t="s">
        <v>1056</v>
      </c>
      <c r="B27">
        <v>25</v>
      </c>
      <c r="C27">
        <f>'L.A.III'!A37</f>
        <v>0</v>
      </c>
      <c r="D27">
        <f>'L.A.III'!A40</f>
        <v>0</v>
      </c>
      <c r="E27" t="s">
        <v>730</v>
      </c>
      <c r="F27">
        <v>3</v>
      </c>
      <c r="G27">
        <v>8</v>
      </c>
      <c r="H27">
        <v>7</v>
      </c>
      <c r="I27">
        <v>13</v>
      </c>
      <c r="J27">
        <v>1</v>
      </c>
      <c r="K27">
        <v>2</v>
      </c>
      <c r="L27">
        <v>1</v>
      </c>
      <c r="M27">
        <v>14</v>
      </c>
      <c r="N27">
        <v>15</v>
      </c>
    </row>
    <row r="28" spans="1:14" ht="12.75">
      <c r="A28" t="s">
        <v>1056</v>
      </c>
      <c r="B28">
        <v>26</v>
      </c>
      <c r="C28">
        <f>'L.A.III'!A42</f>
        <v>0</v>
      </c>
      <c r="D28">
        <f>'L.A.III'!A45</f>
        <v>0</v>
      </c>
      <c r="E28" t="s">
        <v>730</v>
      </c>
      <c r="F28">
        <v>3</v>
      </c>
      <c r="G28">
        <v>8</v>
      </c>
      <c r="H28">
        <v>7</v>
      </c>
      <c r="I28">
        <v>13</v>
      </c>
      <c r="J28">
        <v>1</v>
      </c>
      <c r="K28">
        <v>2</v>
      </c>
      <c r="L28">
        <v>1</v>
      </c>
      <c r="M28">
        <v>14</v>
      </c>
      <c r="N28">
        <v>15</v>
      </c>
    </row>
    <row r="29" spans="1:24" ht="12.75">
      <c r="A29" t="s">
        <v>1056</v>
      </c>
      <c r="B29">
        <v>29</v>
      </c>
      <c r="C29">
        <f>'L.B.I'!A7</f>
        <v>0</v>
      </c>
      <c r="D29">
        <f>'L.B.I'!A10</f>
        <v>0</v>
      </c>
      <c r="E29" t="s">
        <v>27</v>
      </c>
      <c r="F29">
        <v>3</v>
      </c>
      <c r="G29">
        <v>4</v>
      </c>
      <c r="H29">
        <v>10</v>
      </c>
      <c r="I29">
        <v>11</v>
      </c>
      <c r="J29">
        <v>1</v>
      </c>
      <c r="K29">
        <v>2</v>
      </c>
      <c r="L29">
        <v>1</v>
      </c>
      <c r="M29">
        <v>5</v>
      </c>
      <c r="N29">
        <v>12</v>
      </c>
      <c r="X29" t="s">
        <v>941</v>
      </c>
    </row>
    <row r="30" spans="1:24" ht="12.75">
      <c r="A30" t="s">
        <v>1056</v>
      </c>
      <c r="B30">
        <v>30</v>
      </c>
      <c r="C30">
        <f>'L.B.I'!A12</f>
        <v>0</v>
      </c>
      <c r="D30">
        <f>'L.B.I'!A15</f>
        <v>0</v>
      </c>
      <c r="E30" t="s">
        <v>27</v>
      </c>
      <c r="F30">
        <v>3</v>
      </c>
      <c r="G30">
        <v>4</v>
      </c>
      <c r="H30">
        <v>10</v>
      </c>
      <c r="I30">
        <v>11</v>
      </c>
      <c r="J30">
        <v>1</v>
      </c>
      <c r="K30">
        <v>2</v>
      </c>
      <c r="L30">
        <v>1</v>
      </c>
      <c r="M30">
        <v>5</v>
      </c>
      <c r="N30">
        <v>12</v>
      </c>
      <c r="X30" t="s">
        <v>941</v>
      </c>
    </row>
    <row r="31" spans="1:24" ht="12.75">
      <c r="A31" t="s">
        <v>1056</v>
      </c>
      <c r="B31">
        <v>31</v>
      </c>
      <c r="C31">
        <f>'L.B.I'!A17</f>
        <v>0</v>
      </c>
      <c r="D31">
        <f>'L.B.I'!A20</f>
        <v>0</v>
      </c>
      <c r="E31" t="s">
        <v>27</v>
      </c>
      <c r="F31">
        <v>3</v>
      </c>
      <c r="G31">
        <v>4</v>
      </c>
      <c r="H31">
        <v>10</v>
      </c>
      <c r="I31">
        <v>11</v>
      </c>
      <c r="J31">
        <v>1</v>
      </c>
      <c r="K31">
        <v>2</v>
      </c>
      <c r="L31">
        <v>1</v>
      </c>
      <c r="M31">
        <v>5</v>
      </c>
      <c r="N31">
        <v>12</v>
      </c>
      <c r="X31" t="s">
        <v>941</v>
      </c>
    </row>
    <row r="32" spans="1:24" ht="12.75">
      <c r="A32" t="s">
        <v>1056</v>
      </c>
      <c r="B32">
        <v>32</v>
      </c>
      <c r="C32">
        <f>'L.B.I'!A22</f>
        <v>0</v>
      </c>
      <c r="D32">
        <f>'L.B.I'!A25</f>
        <v>0</v>
      </c>
      <c r="E32" t="s">
        <v>27</v>
      </c>
      <c r="F32">
        <v>3</v>
      </c>
      <c r="G32">
        <v>4</v>
      </c>
      <c r="H32">
        <v>10</v>
      </c>
      <c r="I32">
        <v>11</v>
      </c>
      <c r="J32">
        <v>1</v>
      </c>
      <c r="K32">
        <v>2</v>
      </c>
      <c r="L32">
        <v>1</v>
      </c>
      <c r="M32">
        <v>5</v>
      </c>
      <c r="N32">
        <v>12</v>
      </c>
      <c r="X32" t="s">
        <v>941</v>
      </c>
    </row>
    <row r="33" spans="1:24" ht="12.75">
      <c r="A33" t="s">
        <v>1056</v>
      </c>
      <c r="B33">
        <v>33</v>
      </c>
      <c r="C33">
        <f>'L.B.I'!A27</f>
        <v>0</v>
      </c>
      <c r="D33">
        <f>'L.B.I'!A30</f>
        <v>0</v>
      </c>
      <c r="E33" t="s">
        <v>27</v>
      </c>
      <c r="F33">
        <v>3</v>
      </c>
      <c r="G33">
        <v>4</v>
      </c>
      <c r="H33">
        <v>10</v>
      </c>
      <c r="I33">
        <v>11</v>
      </c>
      <c r="J33">
        <v>1</v>
      </c>
      <c r="K33">
        <v>2</v>
      </c>
      <c r="L33">
        <v>1</v>
      </c>
      <c r="M33">
        <v>5</v>
      </c>
      <c r="N33">
        <v>12</v>
      </c>
      <c r="X33" t="s">
        <v>941</v>
      </c>
    </row>
    <row r="34" spans="1:24" ht="12.75">
      <c r="A34" t="s">
        <v>1056</v>
      </c>
      <c r="B34">
        <v>34</v>
      </c>
      <c r="C34">
        <f>'L.B.I'!A32</f>
        <v>0</v>
      </c>
      <c r="D34">
        <f>'L.B.I'!A35</f>
        <v>0</v>
      </c>
      <c r="E34" t="s">
        <v>27</v>
      </c>
      <c r="F34">
        <v>3</v>
      </c>
      <c r="G34">
        <v>4</v>
      </c>
      <c r="H34">
        <v>10</v>
      </c>
      <c r="I34">
        <v>11</v>
      </c>
      <c r="J34">
        <v>1</v>
      </c>
      <c r="K34">
        <v>2</v>
      </c>
      <c r="L34">
        <v>1</v>
      </c>
      <c r="M34">
        <v>5</v>
      </c>
      <c r="N34">
        <v>12</v>
      </c>
      <c r="X34" t="s">
        <v>941</v>
      </c>
    </row>
    <row r="35" spans="1:24" ht="12.75">
      <c r="A35" t="s">
        <v>1056</v>
      </c>
      <c r="B35">
        <v>36</v>
      </c>
      <c r="C35">
        <f>'L.B.II'!A7</f>
        <v>0</v>
      </c>
      <c r="D35">
        <f>'L.B.II'!A10</f>
        <v>0</v>
      </c>
      <c r="E35" t="s">
        <v>28</v>
      </c>
      <c r="F35">
        <v>3</v>
      </c>
      <c r="G35">
        <v>4</v>
      </c>
      <c r="H35">
        <v>10</v>
      </c>
      <c r="I35">
        <v>11</v>
      </c>
      <c r="J35">
        <v>1</v>
      </c>
      <c r="K35">
        <v>2</v>
      </c>
      <c r="L35">
        <v>1</v>
      </c>
      <c r="M35">
        <v>5</v>
      </c>
      <c r="N35">
        <v>12</v>
      </c>
      <c r="X35" t="s">
        <v>941</v>
      </c>
    </row>
    <row r="36" spans="1:24" ht="12.75">
      <c r="A36" t="s">
        <v>1056</v>
      </c>
      <c r="B36">
        <v>37</v>
      </c>
      <c r="C36">
        <f>'L.B.II'!A13</f>
        <v>0</v>
      </c>
      <c r="D36">
        <f>'L.B.II'!A16</f>
        <v>0</v>
      </c>
      <c r="E36" t="s">
        <v>28</v>
      </c>
      <c r="F36">
        <v>3</v>
      </c>
      <c r="G36">
        <v>4</v>
      </c>
      <c r="H36">
        <v>10</v>
      </c>
      <c r="I36">
        <v>11</v>
      </c>
      <c r="J36">
        <v>1</v>
      </c>
      <c r="K36">
        <v>2</v>
      </c>
      <c r="L36">
        <v>1</v>
      </c>
      <c r="M36">
        <v>5</v>
      </c>
      <c r="N36">
        <v>12</v>
      </c>
      <c r="X36" t="s">
        <v>941</v>
      </c>
    </row>
    <row r="37" spans="1:24" ht="12.75">
      <c r="A37" t="s">
        <v>1056</v>
      </c>
      <c r="B37">
        <v>38</v>
      </c>
      <c r="C37">
        <f>'L.B.II'!A18</f>
        <v>0</v>
      </c>
      <c r="D37">
        <f>'L.B.II'!A23</f>
        <v>0</v>
      </c>
      <c r="E37" t="s">
        <v>28</v>
      </c>
      <c r="F37">
        <v>3</v>
      </c>
      <c r="G37">
        <v>4</v>
      </c>
      <c r="H37">
        <v>10</v>
      </c>
      <c r="I37">
        <v>11</v>
      </c>
      <c r="J37">
        <v>1</v>
      </c>
      <c r="K37">
        <v>2</v>
      </c>
      <c r="L37">
        <v>1</v>
      </c>
      <c r="M37">
        <v>5</v>
      </c>
      <c r="N37">
        <v>12</v>
      </c>
      <c r="X37" t="s">
        <v>941</v>
      </c>
    </row>
    <row r="38" spans="1:24" ht="12.75">
      <c r="A38" t="s">
        <v>1056</v>
      </c>
      <c r="B38">
        <v>39</v>
      </c>
      <c r="C38">
        <f>'L.B.II'!A25</f>
        <v>0</v>
      </c>
      <c r="D38">
        <f>'L.B.II'!A28</f>
        <v>0</v>
      </c>
      <c r="E38" t="s">
        <v>28</v>
      </c>
      <c r="F38">
        <v>3</v>
      </c>
      <c r="G38">
        <v>4</v>
      </c>
      <c r="H38">
        <v>10</v>
      </c>
      <c r="I38">
        <v>11</v>
      </c>
      <c r="J38">
        <v>1</v>
      </c>
      <c r="K38">
        <v>2</v>
      </c>
      <c r="L38">
        <v>1</v>
      </c>
      <c r="M38">
        <v>5</v>
      </c>
      <c r="N38">
        <v>12</v>
      </c>
      <c r="X38" t="s">
        <v>941</v>
      </c>
    </row>
    <row r="39" spans="1:24" ht="12.75">
      <c r="A39" t="s">
        <v>1056</v>
      </c>
      <c r="B39">
        <v>40</v>
      </c>
      <c r="C39">
        <f>'L.B.II'!A30</f>
        <v>0</v>
      </c>
      <c r="D39">
        <f>'L.B.II'!A33</f>
        <v>0</v>
      </c>
      <c r="E39" t="s">
        <v>28</v>
      </c>
      <c r="F39">
        <v>3</v>
      </c>
      <c r="G39">
        <v>3</v>
      </c>
      <c r="H39">
        <v>10</v>
      </c>
      <c r="I39">
        <v>10</v>
      </c>
      <c r="J39">
        <v>1</v>
      </c>
      <c r="K39">
        <v>2</v>
      </c>
      <c r="L39">
        <v>1</v>
      </c>
      <c r="M39">
        <v>5</v>
      </c>
      <c r="N39">
        <v>12</v>
      </c>
      <c r="X39" t="s">
        <v>941</v>
      </c>
    </row>
    <row r="40" spans="1:24" ht="12.75">
      <c r="A40" t="s">
        <v>1056</v>
      </c>
      <c r="B40">
        <v>44</v>
      </c>
      <c r="C40">
        <f>'L.B.III'!A7</f>
        <v>0</v>
      </c>
      <c r="D40">
        <f>'L.B.III'!A10</f>
        <v>0</v>
      </c>
      <c r="E40" t="s">
        <v>29</v>
      </c>
      <c r="F40">
        <v>3</v>
      </c>
      <c r="G40">
        <v>7</v>
      </c>
      <c r="H40">
        <v>6</v>
      </c>
      <c r="I40">
        <v>11</v>
      </c>
      <c r="J40">
        <v>1</v>
      </c>
      <c r="K40">
        <v>2</v>
      </c>
      <c r="L40">
        <v>1</v>
      </c>
      <c r="M40">
        <v>12</v>
      </c>
      <c r="N40">
        <v>13</v>
      </c>
      <c r="X40" t="s">
        <v>941</v>
      </c>
    </row>
    <row r="41" spans="1:24" ht="12.75">
      <c r="A41" t="s">
        <v>1056</v>
      </c>
      <c r="B41">
        <v>45</v>
      </c>
      <c r="C41">
        <f>'L.B.III'!A12</f>
        <v>0</v>
      </c>
      <c r="D41">
        <f>'L.B.III'!A15</f>
        <v>0</v>
      </c>
      <c r="E41" t="s">
        <v>29</v>
      </c>
      <c r="F41">
        <v>3</v>
      </c>
      <c r="G41">
        <v>7</v>
      </c>
      <c r="H41">
        <v>6</v>
      </c>
      <c r="I41">
        <v>11</v>
      </c>
      <c r="J41">
        <v>1</v>
      </c>
      <c r="K41">
        <v>2</v>
      </c>
      <c r="L41">
        <v>1</v>
      </c>
      <c r="M41">
        <v>12</v>
      </c>
      <c r="N41">
        <v>13</v>
      </c>
      <c r="X41" t="s">
        <v>941</v>
      </c>
    </row>
    <row r="42" spans="1:24" ht="12.75">
      <c r="A42" t="s">
        <v>1056</v>
      </c>
      <c r="B42">
        <v>46</v>
      </c>
      <c r="C42">
        <f>'L.B.III'!A17</f>
        <v>0</v>
      </c>
      <c r="D42">
        <f>'L.B.III'!A20</f>
        <v>0</v>
      </c>
      <c r="E42" t="s">
        <v>29</v>
      </c>
      <c r="F42">
        <v>3</v>
      </c>
      <c r="G42">
        <v>7</v>
      </c>
      <c r="H42">
        <v>6</v>
      </c>
      <c r="I42">
        <v>11</v>
      </c>
      <c r="J42">
        <v>1</v>
      </c>
      <c r="K42">
        <v>2</v>
      </c>
      <c r="L42">
        <v>1</v>
      </c>
      <c r="M42">
        <v>12</v>
      </c>
      <c r="N42">
        <v>13</v>
      </c>
      <c r="X42" t="s">
        <v>941</v>
      </c>
    </row>
    <row r="43" spans="1:24" ht="12.75">
      <c r="A43" t="s">
        <v>1056</v>
      </c>
      <c r="B43">
        <v>47</v>
      </c>
      <c r="C43">
        <f>'L.B.III'!A22</f>
        <v>0</v>
      </c>
      <c r="D43">
        <f>'L.B.III'!A25</f>
        <v>0</v>
      </c>
      <c r="E43" t="s">
        <v>29</v>
      </c>
      <c r="F43">
        <v>3</v>
      </c>
      <c r="G43">
        <v>7</v>
      </c>
      <c r="H43">
        <v>6</v>
      </c>
      <c r="I43">
        <v>11</v>
      </c>
      <c r="J43">
        <v>1</v>
      </c>
      <c r="K43">
        <v>2</v>
      </c>
      <c r="L43">
        <v>1</v>
      </c>
      <c r="M43">
        <v>12</v>
      </c>
      <c r="N43">
        <v>13</v>
      </c>
      <c r="X43" t="s">
        <v>941</v>
      </c>
    </row>
    <row r="44" spans="1:24" ht="12.75">
      <c r="A44" t="s">
        <v>1056</v>
      </c>
      <c r="B44">
        <v>48</v>
      </c>
      <c r="C44">
        <f>'L.B.III'!A27</f>
        <v>0</v>
      </c>
      <c r="D44">
        <f>'L.B.III'!A30</f>
        <v>0</v>
      </c>
      <c r="E44" t="s">
        <v>29</v>
      </c>
      <c r="F44">
        <v>3</v>
      </c>
      <c r="G44">
        <v>7</v>
      </c>
      <c r="H44">
        <v>6</v>
      </c>
      <c r="I44">
        <v>11</v>
      </c>
      <c r="J44">
        <v>1</v>
      </c>
      <c r="K44">
        <v>2</v>
      </c>
      <c r="L44">
        <v>1</v>
      </c>
      <c r="M44">
        <v>12</v>
      </c>
      <c r="N44">
        <v>13</v>
      </c>
      <c r="X44" t="s">
        <v>941</v>
      </c>
    </row>
    <row r="45" spans="1:24" ht="12.75">
      <c r="A45" t="s">
        <v>1056</v>
      </c>
      <c r="B45">
        <v>50</v>
      </c>
      <c r="C45">
        <f>'L.B.IV'!A8</f>
        <v>0</v>
      </c>
      <c r="D45">
        <f>'L.B.IV'!A12</f>
        <v>0</v>
      </c>
      <c r="E45" t="s">
        <v>1753</v>
      </c>
      <c r="F45">
        <v>6</v>
      </c>
      <c r="G45">
        <v>6</v>
      </c>
      <c r="H45">
        <v>10</v>
      </c>
      <c r="I45">
        <v>10</v>
      </c>
      <c r="J45">
        <v>1</v>
      </c>
      <c r="K45">
        <v>2</v>
      </c>
      <c r="L45">
        <v>1</v>
      </c>
      <c r="M45">
        <v>8</v>
      </c>
      <c r="X45" t="s">
        <v>941</v>
      </c>
    </row>
    <row r="46" spans="1:24" ht="12.75">
      <c r="A46" t="s">
        <v>1056</v>
      </c>
      <c r="B46">
        <v>51</v>
      </c>
      <c r="C46">
        <f>'L.B.IV'!A14</f>
        <v>0</v>
      </c>
      <c r="D46">
        <f>'L.B.IV'!A18</f>
        <v>0</v>
      </c>
      <c r="E46" t="s">
        <v>1753</v>
      </c>
      <c r="F46">
        <v>6</v>
      </c>
      <c r="G46">
        <v>6</v>
      </c>
      <c r="H46">
        <v>10</v>
      </c>
      <c r="I46">
        <v>10</v>
      </c>
      <c r="J46">
        <v>1</v>
      </c>
      <c r="K46">
        <v>2</v>
      </c>
      <c r="L46">
        <v>1</v>
      </c>
      <c r="M46">
        <v>8</v>
      </c>
      <c r="X46" t="s">
        <v>941</v>
      </c>
    </row>
    <row r="47" spans="1:24" ht="12.75">
      <c r="A47" t="s">
        <v>1056</v>
      </c>
      <c r="B47">
        <v>53</v>
      </c>
      <c r="C47" s="386">
        <f>'L.C'!A7</f>
        <v>0</v>
      </c>
      <c r="D47" s="386">
        <f>'L.C'!A10</f>
        <v>0</v>
      </c>
      <c r="E47" t="s">
        <v>1754</v>
      </c>
      <c r="F47">
        <v>3</v>
      </c>
      <c r="G47">
        <v>3</v>
      </c>
      <c r="H47">
        <v>4</v>
      </c>
      <c r="I47">
        <v>4</v>
      </c>
      <c r="J47">
        <v>1</v>
      </c>
      <c r="K47">
        <v>2</v>
      </c>
      <c r="L47">
        <v>1</v>
      </c>
      <c r="X47" t="s">
        <v>941</v>
      </c>
    </row>
    <row r="48" spans="1:24" ht="12.75">
      <c r="A48" t="s">
        <v>1056</v>
      </c>
      <c r="B48">
        <v>54</v>
      </c>
      <c r="C48">
        <f>'L.C'!A12</f>
        <v>0</v>
      </c>
      <c r="D48">
        <f>'L.C'!A15</f>
        <v>0</v>
      </c>
      <c r="E48" t="s">
        <v>1754</v>
      </c>
      <c r="F48">
        <v>3</v>
      </c>
      <c r="G48">
        <v>3</v>
      </c>
      <c r="H48">
        <v>4</v>
      </c>
      <c r="I48">
        <v>4</v>
      </c>
      <c r="J48">
        <v>1</v>
      </c>
      <c r="K48">
        <v>2</v>
      </c>
      <c r="L48">
        <v>1</v>
      </c>
      <c r="X48" t="s">
        <v>941</v>
      </c>
    </row>
    <row r="49" spans="1:24" ht="12.75">
      <c r="A49" t="s">
        <v>1056</v>
      </c>
      <c r="B49">
        <v>55</v>
      </c>
      <c r="C49">
        <f>'L.C'!A17</f>
        <v>0</v>
      </c>
      <c r="D49">
        <f>'L.C'!A20</f>
        <v>0</v>
      </c>
      <c r="E49" t="s">
        <v>1754</v>
      </c>
      <c r="F49">
        <v>3</v>
      </c>
      <c r="G49">
        <v>3</v>
      </c>
      <c r="H49">
        <v>4</v>
      </c>
      <c r="I49">
        <v>4</v>
      </c>
      <c r="J49">
        <v>1</v>
      </c>
      <c r="K49">
        <v>2</v>
      </c>
      <c r="L49">
        <v>1</v>
      </c>
      <c r="X49" t="s">
        <v>941</v>
      </c>
    </row>
    <row r="50" spans="1:24" ht="12.75">
      <c r="A50" t="s">
        <v>1056</v>
      </c>
      <c r="B50">
        <v>69</v>
      </c>
      <c r="C50" s="386">
        <f>'L.E'!A7</f>
        <v>0</v>
      </c>
      <c r="D50" s="386">
        <f>'L.E'!A10</f>
        <v>0</v>
      </c>
      <c r="E50" t="s">
        <v>729</v>
      </c>
      <c r="F50">
        <v>3</v>
      </c>
      <c r="G50">
        <v>3</v>
      </c>
      <c r="H50">
        <v>4</v>
      </c>
      <c r="I50">
        <v>4</v>
      </c>
      <c r="J50">
        <v>1</v>
      </c>
      <c r="K50">
        <v>2</v>
      </c>
      <c r="L50">
        <v>1</v>
      </c>
      <c r="X50" t="s">
        <v>103</v>
      </c>
    </row>
    <row r="51" spans="1:24" ht="12.75">
      <c r="A51" t="s">
        <v>1056</v>
      </c>
      <c r="B51">
        <v>70</v>
      </c>
      <c r="C51">
        <f>'L.E'!A12</f>
        <v>0</v>
      </c>
      <c r="D51">
        <f>'L.E'!A15</f>
        <v>0</v>
      </c>
      <c r="E51" t="s">
        <v>729</v>
      </c>
      <c r="F51">
        <v>3</v>
      </c>
      <c r="G51">
        <v>3</v>
      </c>
      <c r="H51">
        <v>4</v>
      </c>
      <c r="I51">
        <v>4</v>
      </c>
      <c r="J51">
        <v>1</v>
      </c>
      <c r="K51">
        <v>2</v>
      </c>
      <c r="L51">
        <v>1</v>
      </c>
      <c r="X51" t="s">
        <v>103</v>
      </c>
    </row>
    <row r="52" spans="1:24" ht="12.75">
      <c r="A52" t="s">
        <v>1056</v>
      </c>
      <c r="B52">
        <v>71</v>
      </c>
      <c r="C52">
        <f>'L.E'!A17</f>
        <v>0</v>
      </c>
      <c r="D52">
        <f>'L.E'!A20</f>
        <v>0</v>
      </c>
      <c r="E52" t="s">
        <v>729</v>
      </c>
      <c r="F52">
        <v>3</v>
      </c>
      <c r="G52">
        <v>3</v>
      </c>
      <c r="H52">
        <v>4</v>
      </c>
      <c r="I52">
        <v>4</v>
      </c>
      <c r="J52">
        <v>1</v>
      </c>
      <c r="K52">
        <v>2</v>
      </c>
      <c r="L52">
        <v>1</v>
      </c>
      <c r="X52" t="s">
        <v>103</v>
      </c>
    </row>
    <row r="53" spans="1:24" ht="12.75">
      <c r="A53" t="s">
        <v>1056</v>
      </c>
      <c r="B53" s="320">
        <v>74</v>
      </c>
      <c r="C53" s="851">
        <f>'L.F.I'!A7</f>
        <v>0</v>
      </c>
      <c r="D53" s="851">
        <f>'L.F.I'!A10</f>
        <v>0</v>
      </c>
      <c r="E53" s="852" t="s">
        <v>1755</v>
      </c>
      <c r="F53" s="320">
        <v>3</v>
      </c>
      <c r="G53" s="320">
        <v>3</v>
      </c>
      <c r="H53" s="320">
        <v>4</v>
      </c>
      <c r="I53" s="320">
        <v>4</v>
      </c>
      <c r="J53" s="320">
        <v>1</v>
      </c>
      <c r="K53" s="320">
        <v>2</v>
      </c>
      <c r="L53" s="320">
        <v>1</v>
      </c>
      <c r="M53" s="320"/>
      <c r="X53" t="s">
        <v>103</v>
      </c>
    </row>
    <row r="54" spans="1:24" ht="12.75">
      <c r="A54" t="s">
        <v>1056</v>
      </c>
      <c r="B54" s="320">
        <v>75</v>
      </c>
      <c r="C54" s="320">
        <f>'L.F.I'!A12</f>
        <v>0</v>
      </c>
      <c r="D54" s="320">
        <f>'L.F.I'!A15</f>
        <v>0</v>
      </c>
      <c r="E54" s="852" t="s">
        <v>1755</v>
      </c>
      <c r="F54" s="320">
        <v>3</v>
      </c>
      <c r="G54" s="320">
        <v>3</v>
      </c>
      <c r="H54" s="320">
        <v>4</v>
      </c>
      <c r="I54" s="320">
        <v>4</v>
      </c>
      <c r="J54" s="320">
        <v>1</v>
      </c>
      <c r="K54" s="320">
        <v>2</v>
      </c>
      <c r="L54" s="320">
        <v>1</v>
      </c>
      <c r="M54" s="320"/>
      <c r="X54" t="s">
        <v>103</v>
      </c>
    </row>
    <row r="55" spans="1:24" ht="12.75">
      <c r="A55" t="s">
        <v>1056</v>
      </c>
      <c r="B55" s="320">
        <v>76</v>
      </c>
      <c r="C55" s="320">
        <f>'L.F.I'!A17</f>
        <v>0</v>
      </c>
      <c r="D55" s="320">
        <f>'L.F.I'!A20</f>
        <v>0</v>
      </c>
      <c r="E55" s="852" t="s">
        <v>1755</v>
      </c>
      <c r="F55" s="320">
        <v>3</v>
      </c>
      <c r="G55" s="320">
        <v>3</v>
      </c>
      <c r="H55" s="320">
        <v>4</v>
      </c>
      <c r="I55" s="320">
        <v>4</v>
      </c>
      <c r="J55" s="320">
        <v>1</v>
      </c>
      <c r="K55" s="320">
        <v>2</v>
      </c>
      <c r="L55" s="320">
        <v>1</v>
      </c>
      <c r="M55" s="320"/>
      <c r="X55" t="s">
        <v>103</v>
      </c>
    </row>
    <row r="56" spans="1:24" ht="12.75">
      <c r="A56" t="s">
        <v>1056</v>
      </c>
      <c r="B56">
        <v>78</v>
      </c>
      <c r="C56" s="386">
        <f>'L.F.II'!A7</f>
        <v>0</v>
      </c>
      <c r="D56" s="386">
        <f>'L.F.II'!A10</f>
        <v>0</v>
      </c>
      <c r="E56" t="s">
        <v>1756</v>
      </c>
      <c r="F56" s="320">
        <v>3</v>
      </c>
      <c r="G56">
        <v>3</v>
      </c>
      <c r="H56" s="320">
        <v>4</v>
      </c>
      <c r="I56" s="320">
        <v>4</v>
      </c>
      <c r="J56">
        <v>1</v>
      </c>
      <c r="K56">
        <v>2</v>
      </c>
      <c r="L56">
        <v>1</v>
      </c>
      <c r="X56" t="s">
        <v>103</v>
      </c>
    </row>
    <row r="57" spans="1:24" ht="12.75">
      <c r="A57" t="s">
        <v>1056</v>
      </c>
      <c r="B57">
        <v>79</v>
      </c>
      <c r="C57">
        <f>'L.F.II'!A12</f>
        <v>0</v>
      </c>
      <c r="D57">
        <f>'L.F.II'!A15</f>
        <v>0</v>
      </c>
      <c r="E57" t="s">
        <v>1756</v>
      </c>
      <c r="F57" s="320">
        <v>3</v>
      </c>
      <c r="G57">
        <v>3</v>
      </c>
      <c r="H57" s="320">
        <v>4</v>
      </c>
      <c r="I57" s="320">
        <v>4</v>
      </c>
      <c r="J57">
        <v>1</v>
      </c>
      <c r="K57">
        <v>2</v>
      </c>
      <c r="L57">
        <v>1</v>
      </c>
      <c r="X57" t="s">
        <v>103</v>
      </c>
    </row>
    <row r="58" spans="1:24" ht="12.75">
      <c r="A58" t="s">
        <v>1056</v>
      </c>
      <c r="B58">
        <v>80</v>
      </c>
      <c r="C58">
        <f>'L.F.II'!A17</f>
        <v>0</v>
      </c>
      <c r="D58">
        <f>'L.F.II'!A20</f>
        <v>0</v>
      </c>
      <c r="E58" t="s">
        <v>1756</v>
      </c>
      <c r="F58" s="320">
        <v>3</v>
      </c>
      <c r="G58">
        <v>3</v>
      </c>
      <c r="H58" s="320">
        <v>4</v>
      </c>
      <c r="I58" s="320">
        <v>4</v>
      </c>
      <c r="J58">
        <v>1</v>
      </c>
      <c r="K58">
        <v>2</v>
      </c>
      <c r="L58">
        <v>1</v>
      </c>
      <c r="X58" t="s">
        <v>103</v>
      </c>
    </row>
    <row r="59" spans="1:24" ht="12.75">
      <c r="A59" t="s">
        <v>1056</v>
      </c>
      <c r="B59">
        <v>81</v>
      </c>
      <c r="C59">
        <f>'L.F.II'!A22</f>
        <v>0</v>
      </c>
      <c r="D59">
        <f>'L.F.II'!A25</f>
        <v>0</v>
      </c>
      <c r="E59" t="s">
        <v>1756</v>
      </c>
      <c r="F59" s="320">
        <v>3</v>
      </c>
      <c r="G59">
        <v>3</v>
      </c>
      <c r="H59" s="320">
        <v>4</v>
      </c>
      <c r="I59" s="320">
        <v>4</v>
      </c>
      <c r="J59">
        <v>1</v>
      </c>
      <c r="K59">
        <v>2</v>
      </c>
      <c r="L59">
        <v>1</v>
      </c>
      <c r="X59" t="s">
        <v>103</v>
      </c>
    </row>
    <row r="60" spans="1:24" ht="12.75">
      <c r="A60" t="s">
        <v>1056</v>
      </c>
      <c r="B60">
        <v>82</v>
      </c>
      <c r="C60">
        <f>'L.F.II'!A27</f>
        <v>0</v>
      </c>
      <c r="D60">
        <f>'L.F.II'!A30</f>
        <v>0</v>
      </c>
      <c r="E60" t="s">
        <v>1756</v>
      </c>
      <c r="F60" s="320">
        <v>3</v>
      </c>
      <c r="G60">
        <v>3</v>
      </c>
      <c r="H60" s="320">
        <v>4</v>
      </c>
      <c r="I60" s="320">
        <v>4</v>
      </c>
      <c r="J60">
        <v>1</v>
      </c>
      <c r="K60">
        <v>2</v>
      </c>
      <c r="L60">
        <v>1</v>
      </c>
      <c r="X60" t="s">
        <v>103</v>
      </c>
    </row>
    <row r="61" spans="1:24" ht="12.75">
      <c r="A61" t="s">
        <v>1056</v>
      </c>
      <c r="B61">
        <v>83</v>
      </c>
      <c r="C61">
        <f>'L.F.II'!A32</f>
        <v>0</v>
      </c>
      <c r="D61">
        <f>'L.F.II'!A35</f>
        <v>0</v>
      </c>
      <c r="E61" t="s">
        <v>1756</v>
      </c>
      <c r="F61" s="320">
        <v>3</v>
      </c>
      <c r="G61">
        <v>3</v>
      </c>
      <c r="H61" s="320">
        <v>4</v>
      </c>
      <c r="I61" s="320">
        <v>4</v>
      </c>
      <c r="J61">
        <v>1</v>
      </c>
      <c r="K61">
        <v>2</v>
      </c>
      <c r="L61">
        <v>1</v>
      </c>
      <c r="X61" t="s">
        <v>103</v>
      </c>
    </row>
    <row r="62" spans="1:24" ht="12.75">
      <c r="A62" t="s">
        <v>1056</v>
      </c>
      <c r="B62">
        <v>84</v>
      </c>
      <c r="C62">
        <f>'L.F.II'!A37</f>
        <v>0</v>
      </c>
      <c r="D62">
        <f>'L.F.II'!A40</f>
        <v>0</v>
      </c>
      <c r="E62" t="s">
        <v>1756</v>
      </c>
      <c r="F62" s="320">
        <v>3</v>
      </c>
      <c r="G62">
        <v>3</v>
      </c>
      <c r="H62" s="320">
        <v>4</v>
      </c>
      <c r="I62" s="320">
        <v>4</v>
      </c>
      <c r="J62">
        <v>1</v>
      </c>
      <c r="K62">
        <v>2</v>
      </c>
      <c r="L62">
        <v>1</v>
      </c>
      <c r="X62" t="s">
        <v>103</v>
      </c>
    </row>
    <row r="63" spans="1:24" ht="12.75">
      <c r="A63" t="s">
        <v>1056</v>
      </c>
      <c r="B63">
        <v>85</v>
      </c>
      <c r="C63">
        <f>'L.F.II'!A42</f>
        <v>0</v>
      </c>
      <c r="D63">
        <f>'L.F.II'!A45</f>
        <v>0</v>
      </c>
      <c r="E63" t="s">
        <v>1756</v>
      </c>
      <c r="F63" s="320">
        <v>3</v>
      </c>
      <c r="G63">
        <v>3</v>
      </c>
      <c r="H63" s="320">
        <v>4</v>
      </c>
      <c r="I63" s="320">
        <v>4</v>
      </c>
      <c r="J63">
        <v>1</v>
      </c>
      <c r="K63">
        <v>2</v>
      </c>
      <c r="L63">
        <v>1</v>
      </c>
      <c r="X63" t="s">
        <v>103</v>
      </c>
    </row>
    <row r="64" spans="1:24" ht="12.75">
      <c r="A64" t="s">
        <v>1056</v>
      </c>
      <c r="B64">
        <v>87</v>
      </c>
      <c r="C64">
        <f>'L.F.III'!A7</f>
        <v>0</v>
      </c>
      <c r="D64">
        <f>'L.F.III'!A10</f>
        <v>0</v>
      </c>
      <c r="E64" t="s">
        <v>1757</v>
      </c>
      <c r="F64">
        <v>3</v>
      </c>
      <c r="G64">
        <v>3</v>
      </c>
      <c r="H64" s="320">
        <v>4</v>
      </c>
      <c r="I64" s="320">
        <v>4</v>
      </c>
      <c r="J64">
        <v>1</v>
      </c>
      <c r="K64">
        <v>2</v>
      </c>
      <c r="L64">
        <v>1</v>
      </c>
      <c r="X64" t="s">
        <v>103</v>
      </c>
    </row>
    <row r="65" spans="1:24" ht="12.75">
      <c r="A65" t="s">
        <v>1056</v>
      </c>
      <c r="B65">
        <v>89</v>
      </c>
      <c r="C65">
        <f>'L.F.III'!A12</f>
        <v>0</v>
      </c>
      <c r="D65">
        <f>'L.F.III'!A15</f>
        <v>0</v>
      </c>
      <c r="E65" t="s">
        <v>1757</v>
      </c>
      <c r="F65">
        <v>3</v>
      </c>
      <c r="G65">
        <v>3</v>
      </c>
      <c r="H65" s="320">
        <v>4</v>
      </c>
      <c r="I65" s="320">
        <v>4</v>
      </c>
      <c r="J65">
        <v>1</v>
      </c>
      <c r="K65">
        <v>2</v>
      </c>
      <c r="L65">
        <v>1</v>
      </c>
      <c r="X65" t="s">
        <v>103</v>
      </c>
    </row>
    <row r="66" spans="1:24" ht="12.75">
      <c r="A66" t="s">
        <v>1056</v>
      </c>
      <c r="B66">
        <v>90</v>
      </c>
      <c r="C66">
        <f>'L.F.III'!A17</f>
        <v>0</v>
      </c>
      <c r="D66">
        <f>'L.F.III'!A20</f>
        <v>0</v>
      </c>
      <c r="E66" t="s">
        <v>1757</v>
      </c>
      <c r="F66">
        <v>3</v>
      </c>
      <c r="G66">
        <v>3</v>
      </c>
      <c r="H66" s="320">
        <v>4</v>
      </c>
      <c r="I66" s="320">
        <v>4</v>
      </c>
      <c r="J66">
        <v>1</v>
      </c>
      <c r="K66">
        <v>2</v>
      </c>
      <c r="L66">
        <v>1</v>
      </c>
      <c r="X66" t="s">
        <v>103</v>
      </c>
    </row>
    <row r="67" spans="1:24" ht="12.75">
      <c r="A67" t="s">
        <v>1056</v>
      </c>
      <c r="B67">
        <v>91</v>
      </c>
      <c r="C67">
        <f>'L.F.III'!A22</f>
        <v>0</v>
      </c>
      <c r="D67">
        <f>'L.F.III'!A25</f>
        <v>0</v>
      </c>
      <c r="E67" t="s">
        <v>1757</v>
      </c>
      <c r="F67">
        <v>3</v>
      </c>
      <c r="G67">
        <v>3</v>
      </c>
      <c r="H67" s="320">
        <v>4</v>
      </c>
      <c r="I67" s="320">
        <v>4</v>
      </c>
      <c r="J67">
        <v>1</v>
      </c>
      <c r="K67">
        <v>2</v>
      </c>
      <c r="L67">
        <v>1</v>
      </c>
      <c r="X67" t="s">
        <v>103</v>
      </c>
    </row>
    <row r="68" spans="1:24" ht="12.75">
      <c r="A68" t="s">
        <v>1056</v>
      </c>
      <c r="B68">
        <v>92</v>
      </c>
      <c r="C68">
        <f>'L.F.III'!A27</f>
        <v>0</v>
      </c>
      <c r="D68">
        <f>'L.F.III'!A30</f>
        <v>0</v>
      </c>
      <c r="E68" t="s">
        <v>1757</v>
      </c>
      <c r="F68">
        <v>3</v>
      </c>
      <c r="G68">
        <v>3</v>
      </c>
      <c r="H68" s="320">
        <v>4</v>
      </c>
      <c r="I68" s="320">
        <v>4</v>
      </c>
      <c r="J68">
        <v>1</v>
      </c>
      <c r="K68">
        <v>2</v>
      </c>
      <c r="L68">
        <v>1</v>
      </c>
      <c r="X68" t="s">
        <v>103</v>
      </c>
    </row>
    <row r="69" spans="1:24" ht="12.75">
      <c r="A69" t="s">
        <v>1056</v>
      </c>
      <c r="B69">
        <v>93</v>
      </c>
      <c r="C69">
        <f>'L.F.III'!A32</f>
        <v>0</v>
      </c>
      <c r="D69">
        <f>'L.F.III'!A35</f>
        <v>0</v>
      </c>
      <c r="E69" t="s">
        <v>1757</v>
      </c>
      <c r="F69">
        <v>3</v>
      </c>
      <c r="G69">
        <v>3</v>
      </c>
      <c r="H69" s="320">
        <v>4</v>
      </c>
      <c r="I69" s="320">
        <v>4</v>
      </c>
      <c r="J69">
        <v>1</v>
      </c>
      <c r="K69">
        <v>2</v>
      </c>
      <c r="L69">
        <v>1</v>
      </c>
      <c r="X69" t="s">
        <v>103</v>
      </c>
    </row>
    <row r="70" spans="1:24" ht="12.75">
      <c r="A70" t="s">
        <v>1056</v>
      </c>
      <c r="B70">
        <v>94</v>
      </c>
      <c r="C70">
        <f>'L.F.III'!A37</f>
        <v>0</v>
      </c>
      <c r="D70">
        <f>'L.F.III'!A40</f>
        <v>0</v>
      </c>
      <c r="E70" t="s">
        <v>1757</v>
      </c>
      <c r="F70">
        <v>3</v>
      </c>
      <c r="G70">
        <v>3</v>
      </c>
      <c r="H70" s="320">
        <v>4</v>
      </c>
      <c r="I70" s="320">
        <v>4</v>
      </c>
      <c r="J70">
        <v>1</v>
      </c>
      <c r="K70">
        <v>2</v>
      </c>
      <c r="L70">
        <v>1</v>
      </c>
      <c r="X70" t="s">
        <v>103</v>
      </c>
    </row>
    <row r="71" spans="1:24" ht="12.75">
      <c r="A71" t="s">
        <v>1056</v>
      </c>
      <c r="B71">
        <v>95</v>
      </c>
      <c r="C71">
        <f>'L.F.III'!A42</f>
        <v>0</v>
      </c>
      <c r="D71">
        <f>'L.F.III'!A45</f>
        <v>0</v>
      </c>
      <c r="E71" t="s">
        <v>1757</v>
      </c>
      <c r="F71">
        <v>3</v>
      </c>
      <c r="G71">
        <v>3</v>
      </c>
      <c r="H71" s="320">
        <v>4</v>
      </c>
      <c r="I71" s="320">
        <v>4</v>
      </c>
      <c r="J71">
        <v>1</v>
      </c>
      <c r="K71">
        <v>2</v>
      </c>
      <c r="L71">
        <v>1</v>
      </c>
      <c r="X71" t="s">
        <v>103</v>
      </c>
    </row>
    <row r="72" spans="1:24" ht="12.75">
      <c r="A72" t="s">
        <v>1056</v>
      </c>
      <c r="B72">
        <v>99</v>
      </c>
      <c r="C72" s="386">
        <f>'L.G'!A7</f>
        <v>0</v>
      </c>
      <c r="D72" s="386">
        <f>'L.G'!A10</f>
        <v>0</v>
      </c>
      <c r="E72" t="s">
        <v>1758</v>
      </c>
      <c r="F72">
        <v>3</v>
      </c>
      <c r="G72">
        <v>3</v>
      </c>
      <c r="H72">
        <v>4</v>
      </c>
      <c r="I72">
        <v>4</v>
      </c>
      <c r="J72">
        <v>1</v>
      </c>
      <c r="K72">
        <v>2</v>
      </c>
      <c r="L72">
        <v>1</v>
      </c>
      <c r="X72" t="s">
        <v>103</v>
      </c>
    </row>
    <row r="73" spans="1:24" ht="12.75">
      <c r="A73" t="s">
        <v>1056</v>
      </c>
      <c r="B73">
        <v>100</v>
      </c>
      <c r="C73">
        <f>'L.G'!A12</f>
        <v>0</v>
      </c>
      <c r="D73">
        <f>'L.G'!A15</f>
        <v>0</v>
      </c>
      <c r="E73" t="s">
        <v>1758</v>
      </c>
      <c r="F73">
        <v>3</v>
      </c>
      <c r="G73">
        <v>3</v>
      </c>
      <c r="H73">
        <v>4</v>
      </c>
      <c r="I73">
        <v>4</v>
      </c>
      <c r="J73">
        <v>1</v>
      </c>
      <c r="K73">
        <v>2</v>
      </c>
      <c r="L73">
        <v>1</v>
      </c>
      <c r="X73" t="s">
        <v>103</v>
      </c>
    </row>
    <row r="74" spans="1:24" ht="12.75">
      <c r="A74" t="s">
        <v>1056</v>
      </c>
      <c r="B74">
        <v>101</v>
      </c>
      <c r="C74">
        <f>'L.G'!A17</f>
        <v>0</v>
      </c>
      <c r="D74">
        <f>'L.G'!A20</f>
        <v>0</v>
      </c>
      <c r="E74" t="s">
        <v>1758</v>
      </c>
      <c r="F74">
        <v>3</v>
      </c>
      <c r="G74">
        <v>3</v>
      </c>
      <c r="H74">
        <v>4</v>
      </c>
      <c r="I74">
        <v>4</v>
      </c>
      <c r="J74">
        <v>1</v>
      </c>
      <c r="K74">
        <v>2</v>
      </c>
      <c r="L74">
        <v>1</v>
      </c>
      <c r="X74" t="s">
        <v>103</v>
      </c>
    </row>
    <row r="75" spans="1:12" ht="12.75">
      <c r="A75" t="s">
        <v>1057</v>
      </c>
      <c r="B75">
        <v>1</v>
      </c>
      <c r="C75" s="386">
        <f>'L.H.I-VIIA'!A7</f>
        <v>0</v>
      </c>
      <c r="D75" s="386">
        <f>'L.H.I-VIIA'!A10</f>
        <v>0</v>
      </c>
      <c r="E75" t="s">
        <v>1759</v>
      </c>
      <c r="F75">
        <v>3</v>
      </c>
      <c r="G75">
        <v>3</v>
      </c>
      <c r="H75">
        <v>4</v>
      </c>
      <c r="I75">
        <v>4</v>
      </c>
      <c r="J75">
        <v>1</v>
      </c>
      <c r="K75">
        <v>2</v>
      </c>
      <c r="L75">
        <v>0</v>
      </c>
    </row>
    <row r="76" spans="1:12" ht="12.75">
      <c r="A76" t="s">
        <v>1057</v>
      </c>
      <c r="B76">
        <v>2</v>
      </c>
      <c r="C76" s="386">
        <f>'L.H.I-VIIA'!A12</f>
        <v>0</v>
      </c>
      <c r="D76" s="386">
        <f>'L.H.I-VIIA'!A15</f>
        <v>0</v>
      </c>
      <c r="E76" t="s">
        <v>1759</v>
      </c>
      <c r="F76">
        <v>3</v>
      </c>
      <c r="G76">
        <v>3</v>
      </c>
      <c r="H76">
        <v>4</v>
      </c>
      <c r="I76">
        <v>4</v>
      </c>
      <c r="J76">
        <v>1</v>
      </c>
      <c r="K76">
        <v>2</v>
      </c>
      <c r="L76">
        <v>0</v>
      </c>
    </row>
    <row r="77" spans="1:12" ht="12.75">
      <c r="A77" t="s">
        <v>1057</v>
      </c>
      <c r="B77">
        <v>4</v>
      </c>
      <c r="C77" s="386">
        <f>'L.H.I-VIIA'!A22</f>
        <v>0</v>
      </c>
      <c r="D77" s="386">
        <f>'L.H.I-VIIA'!A25</f>
        <v>0</v>
      </c>
      <c r="E77" t="s">
        <v>1759</v>
      </c>
      <c r="F77">
        <v>3</v>
      </c>
      <c r="G77">
        <v>3</v>
      </c>
      <c r="H77">
        <v>4</v>
      </c>
      <c r="I77">
        <v>4</v>
      </c>
      <c r="J77">
        <v>1</v>
      </c>
      <c r="K77">
        <v>2</v>
      </c>
      <c r="L77">
        <v>0</v>
      </c>
    </row>
    <row r="78" spans="1:12" ht="12.75">
      <c r="A78" t="s">
        <v>1057</v>
      </c>
      <c r="B78">
        <v>5</v>
      </c>
      <c r="C78">
        <f>'L.H.I-VIIA'!A27</f>
        <v>0</v>
      </c>
      <c r="D78">
        <f>'L.H.I-VIIA'!A30</f>
        <v>0</v>
      </c>
      <c r="E78" t="s">
        <v>1759</v>
      </c>
      <c r="F78">
        <v>3</v>
      </c>
      <c r="G78">
        <v>3</v>
      </c>
      <c r="H78">
        <v>4</v>
      </c>
      <c r="I78">
        <v>4</v>
      </c>
      <c r="J78">
        <v>1</v>
      </c>
      <c r="K78">
        <v>2</v>
      </c>
      <c r="L78">
        <v>0</v>
      </c>
    </row>
    <row r="79" spans="1:12" ht="12.75">
      <c r="A79" t="s">
        <v>1057</v>
      </c>
      <c r="B79">
        <v>7</v>
      </c>
      <c r="C79">
        <f>'L.H.I-VIIA'!A17</f>
        <v>0</v>
      </c>
      <c r="D79">
        <f>'L.H.I-VIIA'!A20</f>
        <v>0</v>
      </c>
      <c r="E79" t="s">
        <v>1759</v>
      </c>
      <c r="F79">
        <v>3</v>
      </c>
      <c r="G79">
        <v>3</v>
      </c>
      <c r="H79">
        <v>4</v>
      </c>
      <c r="I79">
        <v>4</v>
      </c>
      <c r="J79">
        <v>1</v>
      </c>
      <c r="K79">
        <v>2</v>
      </c>
      <c r="L79">
        <v>0</v>
      </c>
    </row>
    <row r="80" spans="1:12" ht="12.75">
      <c r="A80" t="s">
        <v>1057</v>
      </c>
      <c r="B80">
        <v>9</v>
      </c>
      <c r="C80">
        <f>'L.H.I-VIIA'!A33</f>
        <v>0</v>
      </c>
      <c r="D80">
        <f>'L.H.I-VIIA'!A36</f>
        <v>0</v>
      </c>
      <c r="E80" t="s">
        <v>1759</v>
      </c>
      <c r="F80">
        <v>3</v>
      </c>
      <c r="G80">
        <v>3</v>
      </c>
      <c r="H80">
        <v>4</v>
      </c>
      <c r="I80">
        <v>4</v>
      </c>
      <c r="J80">
        <v>1</v>
      </c>
      <c r="K80">
        <v>2</v>
      </c>
      <c r="L80">
        <v>0</v>
      </c>
    </row>
    <row r="81" spans="1:12" ht="12.75">
      <c r="A81" t="s">
        <v>1057</v>
      </c>
      <c r="B81">
        <v>10</v>
      </c>
      <c r="C81">
        <f>'L.H.I-VIIA'!A38</f>
        <v>0</v>
      </c>
      <c r="D81">
        <f>'L.H.I-VIIA'!A41</f>
        <v>0</v>
      </c>
      <c r="E81" t="s">
        <v>1759</v>
      </c>
      <c r="F81">
        <v>3</v>
      </c>
      <c r="G81">
        <v>3</v>
      </c>
      <c r="H81">
        <v>4</v>
      </c>
      <c r="I81">
        <v>4</v>
      </c>
      <c r="J81">
        <v>1</v>
      </c>
      <c r="K81">
        <v>2</v>
      </c>
      <c r="L81">
        <v>0</v>
      </c>
    </row>
    <row r="82" spans="1:12" ht="12.75">
      <c r="A82" t="s">
        <v>1057</v>
      </c>
      <c r="B82">
        <v>11</v>
      </c>
      <c r="C82">
        <f>'L.H.I-VIIA'!A43</f>
        <v>0</v>
      </c>
      <c r="D82">
        <f>'L.H.I-VIIA'!A46</f>
        <v>0</v>
      </c>
      <c r="E82" t="s">
        <v>1759</v>
      </c>
      <c r="F82">
        <v>3</v>
      </c>
      <c r="G82">
        <v>3</v>
      </c>
      <c r="H82">
        <v>4</v>
      </c>
      <c r="I82">
        <v>4</v>
      </c>
      <c r="J82">
        <v>1</v>
      </c>
      <c r="K82">
        <v>2</v>
      </c>
      <c r="L82">
        <v>0</v>
      </c>
    </row>
    <row r="83" spans="1:12" ht="12.75">
      <c r="A83" t="s">
        <v>1057</v>
      </c>
      <c r="B83">
        <v>12</v>
      </c>
      <c r="C83">
        <f>'L.H.I-VIIA'!A48</f>
        <v>0</v>
      </c>
      <c r="D83">
        <f>'L.H.I-VIIA'!A51</f>
        <v>0</v>
      </c>
      <c r="E83" t="s">
        <v>1759</v>
      </c>
      <c r="F83">
        <v>3</v>
      </c>
      <c r="G83">
        <v>3</v>
      </c>
      <c r="H83">
        <v>4</v>
      </c>
      <c r="I83">
        <v>4</v>
      </c>
      <c r="J83">
        <v>1</v>
      </c>
      <c r="K83">
        <v>2</v>
      </c>
      <c r="L83">
        <v>0</v>
      </c>
    </row>
    <row r="84" spans="1:12" ht="12.75">
      <c r="A84" t="s">
        <v>1057</v>
      </c>
      <c r="B84">
        <v>13</v>
      </c>
      <c r="C84">
        <f>'L.H.I-VIIA'!A53</f>
        <v>0</v>
      </c>
      <c r="D84">
        <f>'L.H.I-VIIA'!A56</f>
        <v>0</v>
      </c>
      <c r="E84" t="s">
        <v>1759</v>
      </c>
      <c r="F84">
        <v>3</v>
      </c>
      <c r="G84">
        <v>3</v>
      </c>
      <c r="H84">
        <v>4</v>
      </c>
      <c r="I84">
        <v>4</v>
      </c>
      <c r="J84">
        <v>1</v>
      </c>
      <c r="K84">
        <v>2</v>
      </c>
      <c r="L84">
        <v>0</v>
      </c>
    </row>
    <row r="85" spans="1:12" ht="12.75">
      <c r="A85" t="s">
        <v>1057</v>
      </c>
      <c r="B85">
        <v>15</v>
      </c>
      <c r="C85">
        <f>'L.H.I-VIIA'!A59</f>
        <v>0</v>
      </c>
      <c r="D85">
        <f>'L.H.I-VIIA'!A62</f>
        <v>0</v>
      </c>
      <c r="E85" t="s">
        <v>1759</v>
      </c>
      <c r="F85">
        <v>3</v>
      </c>
      <c r="G85">
        <v>3</v>
      </c>
      <c r="H85">
        <v>4</v>
      </c>
      <c r="I85">
        <v>4</v>
      </c>
      <c r="J85">
        <v>1</v>
      </c>
      <c r="K85">
        <v>2</v>
      </c>
      <c r="L85">
        <v>0</v>
      </c>
    </row>
    <row r="86" spans="1:12" ht="12.75">
      <c r="A86" t="s">
        <v>1057</v>
      </c>
      <c r="B86">
        <v>16</v>
      </c>
      <c r="C86">
        <f>'L.H.I-VIIA'!A64</f>
        <v>0</v>
      </c>
      <c r="D86">
        <f>'L.H.I-VIIA'!A67</f>
        <v>0</v>
      </c>
      <c r="E86" t="s">
        <v>1759</v>
      </c>
      <c r="F86">
        <v>3</v>
      </c>
      <c r="G86">
        <v>3</v>
      </c>
      <c r="H86">
        <v>4</v>
      </c>
      <c r="I86">
        <v>4</v>
      </c>
      <c r="J86">
        <v>1</v>
      </c>
      <c r="K86">
        <v>2</v>
      </c>
      <c r="L86">
        <v>0</v>
      </c>
    </row>
    <row r="87" spans="1:12" ht="12.75">
      <c r="A87" t="s">
        <v>1057</v>
      </c>
      <c r="B87">
        <v>17</v>
      </c>
      <c r="C87">
        <f>'L.H.I-VIIA'!A69</f>
        <v>0</v>
      </c>
      <c r="D87">
        <f>'L.H.I-VIIA'!A72</f>
        <v>0</v>
      </c>
      <c r="E87" t="s">
        <v>1759</v>
      </c>
      <c r="F87">
        <v>3</v>
      </c>
      <c r="G87">
        <v>3</v>
      </c>
      <c r="H87">
        <v>4</v>
      </c>
      <c r="I87">
        <v>4</v>
      </c>
      <c r="J87">
        <v>1</v>
      </c>
      <c r="K87">
        <v>2</v>
      </c>
      <c r="L87">
        <v>0</v>
      </c>
    </row>
    <row r="88" spans="1:12" ht="12.75">
      <c r="A88" t="s">
        <v>1057</v>
      </c>
      <c r="B88">
        <v>19</v>
      </c>
      <c r="C88">
        <f>'L.H.I-VIIA'!A75</f>
        <v>0</v>
      </c>
      <c r="D88">
        <f>'L.H.I-VIIA'!A78</f>
        <v>0</v>
      </c>
      <c r="E88" t="s">
        <v>1759</v>
      </c>
      <c r="F88">
        <v>3</v>
      </c>
      <c r="G88">
        <v>3</v>
      </c>
      <c r="H88">
        <v>4</v>
      </c>
      <c r="I88">
        <v>4</v>
      </c>
      <c r="J88">
        <v>1</v>
      </c>
      <c r="K88">
        <v>2</v>
      </c>
      <c r="L88">
        <v>0</v>
      </c>
    </row>
    <row r="89" spans="1:12" ht="12.75">
      <c r="A89" t="s">
        <v>1057</v>
      </c>
      <c r="B89">
        <v>20</v>
      </c>
      <c r="C89">
        <f>'L.H.I-VIIA'!A80</f>
        <v>0</v>
      </c>
      <c r="D89">
        <f>'L.H.I-VIIA'!A83</f>
        <v>0</v>
      </c>
      <c r="E89" t="s">
        <v>1759</v>
      </c>
      <c r="F89">
        <v>3</v>
      </c>
      <c r="G89">
        <v>3</v>
      </c>
      <c r="H89">
        <v>4</v>
      </c>
      <c r="I89">
        <v>4</v>
      </c>
      <c r="J89">
        <v>1</v>
      </c>
      <c r="K89">
        <v>2</v>
      </c>
      <c r="L89">
        <v>0</v>
      </c>
    </row>
    <row r="90" spans="1:12" ht="12.75">
      <c r="A90" t="s">
        <v>1057</v>
      </c>
      <c r="B90">
        <v>23</v>
      </c>
      <c r="C90" s="386">
        <f>'L.H.VIII-IX'!A7</f>
        <v>0</v>
      </c>
      <c r="D90" s="386">
        <f>'L.H.VIII-IX'!A10</f>
        <v>0</v>
      </c>
      <c r="E90" t="s">
        <v>1760</v>
      </c>
      <c r="F90">
        <v>3</v>
      </c>
      <c r="G90">
        <v>3</v>
      </c>
      <c r="H90">
        <v>4</v>
      </c>
      <c r="I90">
        <v>4</v>
      </c>
      <c r="J90">
        <v>1</v>
      </c>
      <c r="K90">
        <v>2</v>
      </c>
      <c r="L90">
        <v>0</v>
      </c>
    </row>
    <row r="91" spans="1:12" ht="12.75">
      <c r="A91" t="s">
        <v>1057</v>
      </c>
      <c r="B91">
        <v>25</v>
      </c>
      <c r="C91" s="386">
        <f>'L.H.VIII-IX'!A12</f>
        <v>0</v>
      </c>
      <c r="D91" s="386">
        <f>'L.H.VIII-IX'!A15</f>
        <v>0</v>
      </c>
      <c r="E91" t="s">
        <v>1760</v>
      </c>
      <c r="F91">
        <v>3</v>
      </c>
      <c r="G91">
        <v>3</v>
      </c>
      <c r="H91">
        <v>4</v>
      </c>
      <c r="I91">
        <v>4</v>
      </c>
      <c r="J91">
        <v>1</v>
      </c>
      <c r="K91">
        <v>2</v>
      </c>
      <c r="L91">
        <v>0</v>
      </c>
    </row>
    <row r="92" spans="1:12" ht="12.75">
      <c r="A92" t="s">
        <v>1057</v>
      </c>
      <c r="B92">
        <v>27</v>
      </c>
      <c r="C92" s="386">
        <f>'L.H.VIII-IX'!A17</f>
        <v>0</v>
      </c>
      <c r="D92" s="386">
        <f>'L.H.VIII-IX'!A20</f>
        <v>0</v>
      </c>
      <c r="E92" t="s">
        <v>1760</v>
      </c>
      <c r="F92">
        <v>3</v>
      </c>
      <c r="G92">
        <v>3</v>
      </c>
      <c r="H92">
        <v>4</v>
      </c>
      <c r="I92">
        <v>4</v>
      </c>
      <c r="J92">
        <v>1</v>
      </c>
      <c r="K92">
        <v>2</v>
      </c>
      <c r="L92">
        <v>0</v>
      </c>
    </row>
    <row r="93" spans="1:12" ht="12.75">
      <c r="A93" t="s">
        <v>1057</v>
      </c>
      <c r="B93">
        <v>29</v>
      </c>
      <c r="C93">
        <f>'L.H.VIII-IX'!A22</f>
        <v>0</v>
      </c>
      <c r="D93">
        <f>'L.H.VIII-IX'!A25</f>
        <v>0</v>
      </c>
      <c r="E93" t="s">
        <v>1760</v>
      </c>
      <c r="F93">
        <v>3</v>
      </c>
      <c r="G93">
        <v>3</v>
      </c>
      <c r="H93">
        <v>4</v>
      </c>
      <c r="I93">
        <v>4</v>
      </c>
      <c r="J93">
        <v>1</v>
      </c>
      <c r="K93">
        <v>2</v>
      </c>
      <c r="L93">
        <v>0</v>
      </c>
    </row>
    <row r="94" spans="1:12" ht="12.75">
      <c r="A94" t="s">
        <v>1057</v>
      </c>
      <c r="B94">
        <v>31</v>
      </c>
      <c r="C94">
        <f>'L.H.VIII-IX'!A27</f>
        <v>0</v>
      </c>
      <c r="D94">
        <f>'L.H.VIII-IX'!A30</f>
        <v>0</v>
      </c>
      <c r="E94" t="s">
        <v>1760</v>
      </c>
      <c r="F94">
        <v>3</v>
      </c>
      <c r="G94">
        <v>3</v>
      </c>
      <c r="H94">
        <v>4</v>
      </c>
      <c r="I94">
        <v>4</v>
      </c>
      <c r="J94">
        <v>1</v>
      </c>
      <c r="K94">
        <v>2</v>
      </c>
      <c r="L94">
        <v>0</v>
      </c>
    </row>
    <row r="95" spans="1:12" ht="12.75">
      <c r="A95" t="s">
        <v>1057</v>
      </c>
      <c r="B95">
        <v>33</v>
      </c>
      <c r="C95">
        <f>'L.H.VIII-IX'!A33</f>
        <v>0</v>
      </c>
      <c r="D95">
        <f>'L.H.VIII-IX'!A36</f>
        <v>0</v>
      </c>
      <c r="E95" t="s">
        <v>1760</v>
      </c>
      <c r="F95">
        <v>3</v>
      </c>
      <c r="G95">
        <v>3</v>
      </c>
      <c r="H95">
        <v>4</v>
      </c>
      <c r="I95">
        <v>4</v>
      </c>
      <c r="J95">
        <v>1</v>
      </c>
      <c r="K95">
        <v>2</v>
      </c>
      <c r="L95">
        <v>0</v>
      </c>
    </row>
    <row r="96" spans="1:12" ht="12.75">
      <c r="A96" t="s">
        <v>1057</v>
      </c>
      <c r="B96">
        <v>35</v>
      </c>
      <c r="C96">
        <f>'L.H.VIII-IX'!A38</f>
        <v>0</v>
      </c>
      <c r="D96">
        <f>'L.H.VIII-IX'!A41</f>
        <v>0</v>
      </c>
      <c r="E96" t="s">
        <v>1760</v>
      </c>
      <c r="F96">
        <v>3</v>
      </c>
      <c r="G96">
        <v>3</v>
      </c>
      <c r="H96">
        <v>4</v>
      </c>
      <c r="I96">
        <v>4</v>
      </c>
      <c r="J96">
        <v>1</v>
      </c>
      <c r="K96">
        <v>2</v>
      </c>
      <c r="L96">
        <v>0</v>
      </c>
    </row>
    <row r="97" spans="1:12" ht="12.75">
      <c r="A97" t="s">
        <v>1057</v>
      </c>
      <c r="B97">
        <v>37</v>
      </c>
      <c r="C97">
        <f>'L.H.VIII-IX'!A43</f>
        <v>0</v>
      </c>
      <c r="D97">
        <f>'L.H.VIII-IX'!A46</f>
        <v>0</v>
      </c>
      <c r="E97" t="s">
        <v>1760</v>
      </c>
      <c r="F97">
        <v>3</v>
      </c>
      <c r="G97">
        <v>3</v>
      </c>
      <c r="H97">
        <v>4</v>
      </c>
      <c r="I97">
        <v>4</v>
      </c>
      <c r="J97">
        <v>1</v>
      </c>
      <c r="K97">
        <v>2</v>
      </c>
      <c r="L97">
        <v>0</v>
      </c>
    </row>
    <row r="98" spans="1:12" ht="12.75">
      <c r="A98" t="s">
        <v>1057</v>
      </c>
      <c r="B98">
        <v>38</v>
      </c>
      <c r="C98">
        <f>'L.H.VIII-IX'!A48</f>
        <v>0</v>
      </c>
      <c r="D98">
        <f>'L.H.VIII-IX'!A51</f>
        <v>0</v>
      </c>
      <c r="E98" t="s">
        <v>1760</v>
      </c>
      <c r="F98">
        <v>3</v>
      </c>
      <c r="G98">
        <v>3</v>
      </c>
      <c r="H98">
        <v>4</v>
      </c>
      <c r="I98">
        <v>4</v>
      </c>
      <c r="J98">
        <v>1</v>
      </c>
      <c r="K98">
        <v>2</v>
      </c>
      <c r="L98">
        <v>0</v>
      </c>
    </row>
    <row r="99" spans="1:12" ht="12.75">
      <c r="A99" t="s">
        <v>1057</v>
      </c>
      <c r="B99">
        <v>42</v>
      </c>
      <c r="C99" s="386">
        <f>'L.H.X-XI'!A7</f>
        <v>0</v>
      </c>
      <c r="D99" s="386">
        <f>'L.H.X-XI'!A10</f>
        <v>0</v>
      </c>
      <c r="E99" t="s">
        <v>1761</v>
      </c>
      <c r="F99">
        <v>3</v>
      </c>
      <c r="G99">
        <v>3</v>
      </c>
      <c r="H99">
        <v>4</v>
      </c>
      <c r="I99">
        <v>4</v>
      </c>
      <c r="J99">
        <v>1</v>
      </c>
      <c r="K99">
        <v>2</v>
      </c>
      <c r="L99">
        <v>0</v>
      </c>
    </row>
    <row r="100" spans="1:12" ht="12.75">
      <c r="A100" t="s">
        <v>1057</v>
      </c>
      <c r="B100">
        <v>43</v>
      </c>
      <c r="C100" s="386">
        <f>'L.H.X-XI'!A12</f>
        <v>0</v>
      </c>
      <c r="D100" s="386">
        <f>'L.H.X-XI'!A15</f>
        <v>0</v>
      </c>
      <c r="E100" t="s">
        <v>1761</v>
      </c>
      <c r="F100">
        <v>3</v>
      </c>
      <c r="G100">
        <v>3</v>
      </c>
      <c r="H100">
        <v>4</v>
      </c>
      <c r="I100">
        <v>4</v>
      </c>
      <c r="J100">
        <v>1</v>
      </c>
      <c r="K100">
        <v>2</v>
      </c>
      <c r="L100">
        <v>0</v>
      </c>
    </row>
    <row r="101" spans="1:12" ht="12.75">
      <c r="A101" t="s">
        <v>1057</v>
      </c>
      <c r="C101" s="386">
        <f>'L.H.I-VIIB'!A7</f>
        <v>0</v>
      </c>
      <c r="D101" s="386">
        <f>'L.H.I-VIIB'!A10</f>
        <v>0</v>
      </c>
      <c r="E101" t="s">
        <v>24</v>
      </c>
      <c r="F101">
        <v>3</v>
      </c>
      <c r="G101">
        <v>3</v>
      </c>
      <c r="H101">
        <v>4</v>
      </c>
      <c r="I101">
        <v>4</v>
      </c>
      <c r="J101">
        <v>1</v>
      </c>
      <c r="K101">
        <v>2</v>
      </c>
      <c r="L101">
        <v>0</v>
      </c>
    </row>
    <row r="102" spans="1:12" ht="12.75">
      <c r="A102" t="s">
        <v>1057</v>
      </c>
      <c r="C102">
        <f>'L.H.I-VIIB'!A12</f>
        <v>0</v>
      </c>
      <c r="D102">
        <f>'L.H.I-VIIB'!A15</f>
        <v>0</v>
      </c>
      <c r="E102" t="s">
        <v>24</v>
      </c>
      <c r="F102">
        <v>3</v>
      </c>
      <c r="G102">
        <v>3</v>
      </c>
      <c r="H102">
        <v>4</v>
      </c>
      <c r="I102">
        <v>4</v>
      </c>
      <c r="J102">
        <v>1</v>
      </c>
      <c r="K102">
        <v>2</v>
      </c>
      <c r="L102">
        <v>0</v>
      </c>
    </row>
    <row r="103" spans="1:12" ht="12.75">
      <c r="A103" t="s">
        <v>1057</v>
      </c>
      <c r="C103">
        <f>'L.H.I-VIIB'!A17</f>
        <v>0</v>
      </c>
      <c r="D103">
        <f>'L.H.I-VIIB'!A20</f>
        <v>0</v>
      </c>
      <c r="E103" t="s">
        <v>24</v>
      </c>
      <c r="F103">
        <v>3</v>
      </c>
      <c r="G103">
        <v>3</v>
      </c>
      <c r="H103">
        <v>4</v>
      </c>
      <c r="I103">
        <v>4</v>
      </c>
      <c r="J103">
        <v>1</v>
      </c>
      <c r="K103">
        <v>2</v>
      </c>
      <c r="L103">
        <v>0</v>
      </c>
    </row>
    <row r="104" spans="1:12" ht="12.75">
      <c r="A104" t="s">
        <v>1057</v>
      </c>
      <c r="C104">
        <f>'L.H.I-VIIB'!A22</f>
        <v>0</v>
      </c>
      <c r="D104">
        <f>'L.H.I-VIIB'!A25</f>
        <v>0</v>
      </c>
      <c r="E104" t="s">
        <v>24</v>
      </c>
      <c r="F104">
        <v>3</v>
      </c>
      <c r="G104">
        <v>3</v>
      </c>
      <c r="H104">
        <v>4</v>
      </c>
      <c r="I104">
        <v>4</v>
      </c>
      <c r="J104">
        <v>1</v>
      </c>
      <c r="K104">
        <v>2</v>
      </c>
      <c r="L104">
        <v>0</v>
      </c>
    </row>
    <row r="105" spans="1:12" ht="12.75">
      <c r="A105" t="s">
        <v>1057</v>
      </c>
      <c r="C105">
        <f>'L.H.I-VIIB'!A27</f>
        <v>0</v>
      </c>
      <c r="D105">
        <f>'L.H.I-VIIB'!A30</f>
        <v>0</v>
      </c>
      <c r="E105" t="s">
        <v>24</v>
      </c>
      <c r="F105">
        <v>3</v>
      </c>
      <c r="G105">
        <v>3</v>
      </c>
      <c r="H105">
        <v>4</v>
      </c>
      <c r="I105">
        <v>4</v>
      </c>
      <c r="J105">
        <v>1</v>
      </c>
      <c r="K105">
        <v>2</v>
      </c>
      <c r="L105">
        <v>0</v>
      </c>
    </row>
    <row r="106" spans="1:12" ht="12.75">
      <c r="A106" t="s">
        <v>1057</v>
      </c>
      <c r="C106">
        <f>'L.H.I-VIIB'!A32</f>
        <v>0</v>
      </c>
      <c r="D106">
        <f>'L.H.I-VIIB'!A35</f>
        <v>0</v>
      </c>
      <c r="E106" t="s">
        <v>24</v>
      </c>
      <c r="F106">
        <v>3</v>
      </c>
      <c r="G106">
        <v>3</v>
      </c>
      <c r="H106">
        <v>4</v>
      </c>
      <c r="I106">
        <v>4</v>
      </c>
      <c r="J106">
        <v>1</v>
      </c>
      <c r="K106">
        <v>2</v>
      </c>
      <c r="L106">
        <v>0</v>
      </c>
    </row>
    <row r="107" spans="1:12" ht="12.75">
      <c r="A107" t="s">
        <v>1057</v>
      </c>
      <c r="C107">
        <f>'L.H.I-VIIB'!A38</f>
        <v>0</v>
      </c>
      <c r="D107">
        <f>'L.H.I-VIIB'!A41</f>
        <v>0</v>
      </c>
      <c r="E107" t="s">
        <v>24</v>
      </c>
      <c r="F107">
        <v>3</v>
      </c>
      <c r="G107">
        <v>3</v>
      </c>
      <c r="H107">
        <v>4</v>
      </c>
      <c r="I107">
        <v>4</v>
      </c>
      <c r="J107">
        <v>1</v>
      </c>
      <c r="K107">
        <v>2</v>
      </c>
      <c r="L107">
        <v>0</v>
      </c>
    </row>
    <row r="108" spans="1:12" ht="12.75">
      <c r="A108" t="s">
        <v>1057</v>
      </c>
      <c r="C108">
        <f>'L.H.I-VIIB'!A43</f>
        <v>0</v>
      </c>
      <c r="D108">
        <f>'L.H.I-VIIB'!A46</f>
        <v>0</v>
      </c>
      <c r="E108" t="s">
        <v>24</v>
      </c>
      <c r="F108">
        <v>3</v>
      </c>
      <c r="G108">
        <v>3</v>
      </c>
      <c r="H108">
        <v>4</v>
      </c>
      <c r="I108">
        <v>4</v>
      </c>
      <c r="J108">
        <v>1</v>
      </c>
      <c r="K108">
        <v>2</v>
      </c>
      <c r="L108">
        <v>0</v>
      </c>
    </row>
    <row r="109" spans="1:12" ht="12.75">
      <c r="A109" t="s">
        <v>1057</v>
      </c>
      <c r="C109">
        <f>'L.H.I-VIIB'!A48</f>
        <v>0</v>
      </c>
      <c r="D109">
        <f>'L.H.I-VIIB'!A51</f>
        <v>0</v>
      </c>
      <c r="E109" t="s">
        <v>24</v>
      </c>
      <c r="F109">
        <v>3</v>
      </c>
      <c r="G109">
        <v>3</v>
      </c>
      <c r="H109">
        <v>4</v>
      </c>
      <c r="I109">
        <v>4</v>
      </c>
      <c r="J109">
        <v>1</v>
      </c>
      <c r="K109">
        <v>2</v>
      </c>
      <c r="L109">
        <v>0</v>
      </c>
    </row>
    <row r="110" spans="1:12" ht="12.75">
      <c r="A110" t="s">
        <v>1057</v>
      </c>
      <c r="C110">
        <f>'L.H.I-VIIB'!A54</f>
        <v>0</v>
      </c>
      <c r="D110">
        <f>'L.H.I-VIIB'!A57</f>
        <v>0</v>
      </c>
      <c r="E110" t="s">
        <v>24</v>
      </c>
      <c r="F110">
        <v>3</v>
      </c>
      <c r="G110">
        <v>3</v>
      </c>
      <c r="H110">
        <v>4</v>
      </c>
      <c r="I110">
        <v>4</v>
      </c>
      <c r="J110">
        <v>1</v>
      </c>
      <c r="K110">
        <v>2</v>
      </c>
      <c r="L110">
        <v>0</v>
      </c>
    </row>
    <row r="111" ht="12.75">
      <c r="A111" t="s">
        <v>1057</v>
      </c>
    </row>
    <row r="112" ht="12.75">
      <c r="A112" t="s">
        <v>1057</v>
      </c>
    </row>
    <row r="113" ht="12.75">
      <c r="A113" t="s">
        <v>1057</v>
      </c>
    </row>
    <row r="114" ht="12.75">
      <c r="A114" t="s">
        <v>1057</v>
      </c>
    </row>
    <row r="115" ht="12.75">
      <c r="A115" t="s">
        <v>1057</v>
      </c>
    </row>
  </sheetData>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Munka9"/>
  <dimension ref="A1:E84"/>
  <sheetViews>
    <sheetView showZeros="0" workbookViewId="0" topLeftCell="A46">
      <selection activeCell="H66" sqref="H66"/>
    </sheetView>
  </sheetViews>
  <sheetFormatPr defaultColWidth="9.00390625" defaultRowHeight="12.75"/>
  <cols>
    <col min="1" max="1" width="5.75390625" style="144" customWidth="1"/>
    <col min="2" max="2" width="52.75390625" style="144" customWidth="1"/>
    <col min="3" max="3" width="10.75390625" style="144" customWidth="1"/>
    <col min="4" max="4" width="11.375" style="144" customWidth="1"/>
    <col min="5" max="5" width="10.75390625" style="155" customWidth="1"/>
    <col min="6" max="16384" width="9.125" style="144" customWidth="1"/>
  </cols>
  <sheetData>
    <row r="1" spans="1:2" s="97" customFormat="1" ht="15" customHeight="1" thickBot="1">
      <c r="A1" s="95" t="str">
        <f>Mérleg"A"!A1</f>
        <v>Statitsztikai számjel: 11183855353011311</v>
      </c>
      <c r="B1" s="96"/>
    </row>
    <row r="2" spans="1:5" s="97" customFormat="1" ht="15" customHeight="1" thickBot="1">
      <c r="A2" s="95" t="str">
        <f>Mérleg"A"!A2</f>
        <v>Cégjegyzék szám: 11-09-002700</v>
      </c>
      <c r="B2" s="7"/>
      <c r="E2" s="100">
        <v>11</v>
      </c>
    </row>
    <row r="3" spans="1:5" s="97" customFormat="1" ht="15" customHeight="1">
      <c r="A3" s="95" t="str">
        <f>Mérleg"A"!A3</f>
        <v>A vállalkozás megnevezése</v>
      </c>
      <c r="B3" s="96"/>
      <c r="E3" s="101"/>
    </row>
    <row r="4" spans="2:5" s="97" customFormat="1" ht="15.75" customHeight="1">
      <c r="B4" s="105" t="str">
        <f>Mérleg"A"!B4</f>
        <v>Komáromi Távhő Kft</v>
      </c>
      <c r="E4" s="101"/>
    </row>
    <row r="5" spans="1:5" s="1" customFormat="1" ht="18" customHeight="1">
      <c r="A5" s="102" t="str">
        <f>IF(Általános!$B$19=Általános!$F$8,GLOBAL!B190,IF(Általános!$B$19=Általános!$F$9,GLOBAL!C190,IF(Általános!$B$19=Általános!$F$10,GLOBAL!D190)))</f>
        <v>Egyszerűsített éves beszámoló MÉRLEGE "A" változat</v>
      </c>
      <c r="B5" s="103"/>
      <c r="C5" s="42"/>
      <c r="D5" s="42"/>
      <c r="E5" s="104"/>
    </row>
    <row r="6" spans="1:5" s="1" customFormat="1" ht="18" customHeight="1">
      <c r="A6" s="102" t="str">
        <f>Mérleg"A"!A6</f>
        <v>Eszközök (aktívák)</v>
      </c>
      <c r="B6" s="103"/>
      <c r="C6" s="42"/>
      <c r="D6" s="42"/>
      <c r="E6" s="104"/>
    </row>
    <row r="7" spans="1:5" s="1" customFormat="1" ht="16.5" customHeight="1">
      <c r="A7" s="42" t="str">
        <f>Mérleg"A"!A7</f>
        <v>Az üzleti év mérlegfordulónapja: 2016.december 31. Hőszolg.</v>
      </c>
      <c r="B7" s="103"/>
      <c r="C7" s="42"/>
      <c r="D7" s="42"/>
      <c r="E7" s="104"/>
    </row>
    <row r="8" spans="2:5" s="1" customFormat="1" ht="16.5" customHeight="1">
      <c r="B8" s="7"/>
      <c r="E8" s="128"/>
    </row>
    <row r="9" spans="2:5" s="1" customFormat="1" ht="16.5" customHeight="1">
      <c r="B9" s="7"/>
      <c r="E9" s="128"/>
    </row>
    <row r="10" spans="1:5" s="1" customFormat="1" ht="16.5" customHeight="1">
      <c r="A10" s="127" t="str">
        <f>'Beszámoló Fedlap'!A32</f>
        <v>A közzétett adatokat könyvvizsgáló ellenőrizte</v>
      </c>
      <c r="B10" s="103"/>
      <c r="C10" s="42"/>
      <c r="D10" s="42"/>
      <c r="E10" s="104"/>
    </row>
    <row r="11" spans="3:5" s="1" customFormat="1" ht="18.75" customHeight="1">
      <c r="C11" s="1" t="s">
        <v>704</v>
      </c>
      <c r="E11" s="129"/>
    </row>
    <row r="12" spans="2:5" s="1" customFormat="1" ht="13.5" thickBot="1">
      <c r="B12" s="7"/>
      <c r="E12" s="5" t="str">
        <f>Mérleg"A"!E9</f>
        <v>Adatok E Ft-ban</v>
      </c>
    </row>
    <row r="13" spans="1:5" s="1" customFormat="1" ht="43.5" customHeight="1">
      <c r="A13" s="130" t="str">
        <f>Mérleg"A"!A10</f>
        <v>Sor-szám</v>
      </c>
      <c r="B13" s="11" t="str">
        <f>Mérleg"A"!B10</f>
        <v>A tétel megnevezése</v>
      </c>
      <c r="C13" s="357">
        <v>2015</v>
      </c>
      <c r="D13" s="355" t="str">
        <f>Mérleg"A"!D10</f>
        <v>Előző év(ek) módosításai</v>
      </c>
      <c r="E13" s="356" t="str">
        <f>Mérleg"A"!E10</f>
        <v>Tárgyév</v>
      </c>
    </row>
    <row r="14" spans="1:5" s="1" customFormat="1" ht="10.5" customHeight="1" thickBot="1">
      <c r="A14" s="133" t="s">
        <v>1530</v>
      </c>
      <c r="B14" s="8" t="s">
        <v>1531</v>
      </c>
      <c r="C14" s="134" t="s">
        <v>1532</v>
      </c>
      <c r="D14" s="135" t="s">
        <v>565</v>
      </c>
      <c r="E14" s="136" t="s">
        <v>566</v>
      </c>
    </row>
    <row r="15" spans="1:5" s="94" customFormat="1" ht="21" customHeight="1" thickBot="1">
      <c r="A15" s="137" t="s">
        <v>705</v>
      </c>
      <c r="B15" s="138" t="str">
        <f>"A. "&amp;IF(Általános!$B$19=Általános!$F$8,GLOBAL!B30&amp;" (2+4+6. sor)",IF(Általános!$B$19=Általános!$F$9,GLOBAL!C30&amp;" (Lines 2+4+6)",IF(Általános!$B$19=Általános!$F$10,GLOBAL!D30&amp;" (2+4+6. Reihe)")))</f>
        <v>A. Befektetett eszközök (2+4+6. sor)</v>
      </c>
      <c r="C15" s="207">
        <f>C16+C18+C20</f>
        <v>41505</v>
      </c>
      <c r="D15" s="206">
        <f>D16+D18+D20</f>
        <v>0</v>
      </c>
      <c r="E15" s="207">
        <f>E16+E18+E20</f>
        <v>41959</v>
      </c>
    </row>
    <row r="16" spans="1:5" s="1" customFormat="1" ht="21" customHeight="1">
      <c r="A16" s="139" t="s">
        <v>706</v>
      </c>
      <c r="B16" s="140" t="str">
        <f>"I. "&amp;IF(Általános!$B$19=Általános!$F$8,GLOBAL!B31,IF(Általános!$B$19=Általános!$F$9,GLOBAL!C31,IF(Általános!$B$19=Általános!$F$10,GLOBAL!D31)))</f>
        <v>I. IMMATERIÁLIS  JAVAK</v>
      </c>
      <c r="C16" s="316"/>
      <c r="D16" s="315">
        <f>Mérleg"A"!D13</f>
        <v>0</v>
      </c>
      <c r="E16" s="316"/>
    </row>
    <row r="17" spans="1:5" s="1" customFormat="1" ht="21" customHeight="1">
      <c r="A17" s="141" t="s">
        <v>707</v>
      </c>
      <c r="B17" s="140" t="str">
        <f>IF(Általános!$B$19=Általános!$F$8,GLOBAL!B191,IF(Általános!$B$19=Általános!$F$9,GLOBAL!C191,IF(Általános!$B$19=Általános!$F$10,GLOBAL!D191)))</f>
        <v>      2.sorból:Immateriális javak értékhelyesbítése</v>
      </c>
      <c r="C17" s="295">
        <f>Mérleg"A"!C20</f>
        <v>0</v>
      </c>
      <c r="D17" s="315">
        <f>Mérleg"A"!D20</f>
        <v>0</v>
      </c>
      <c r="E17" s="295">
        <f>Mérleg"A"!E20</f>
        <v>0</v>
      </c>
    </row>
    <row r="18" spans="1:5" s="1" customFormat="1" ht="21" customHeight="1">
      <c r="A18" s="141" t="s">
        <v>709</v>
      </c>
      <c r="B18" s="140" t="str">
        <f>"II. "&amp;IF(Általános!$B$19=Általános!$F$8,GLOBAL!B39,IF(Általános!$B$19=Általános!$F$9,GLOBAL!C39,IF(Általános!$B$19=Általános!$F$10,GLOBAL!D39)))</f>
        <v>II. TÁRGYI  ESZKÖZÖK</v>
      </c>
      <c r="C18" s="295">
        <v>41505</v>
      </c>
      <c r="D18" s="315">
        <f>Mérleg"A"!D21</f>
        <v>0</v>
      </c>
      <c r="E18" s="295">
        <v>41959</v>
      </c>
    </row>
    <row r="19" spans="1:5" s="1" customFormat="1" ht="21" customHeight="1">
      <c r="A19" s="141" t="s">
        <v>710</v>
      </c>
      <c r="B19" s="140" t="str">
        <f>IF(Általános!$B$19=Általános!$F$8,GLOBAL!B192,IF(Általános!$B$19=Általános!$F$9,GLOBAL!C192,IF(Általános!$B$19=Általános!$F$10,GLOBAL!D192)))</f>
        <v>      4.sorból:Tárgyi eszközök értékhelyesbítése</v>
      </c>
      <c r="C19" s="295">
        <f>Mérleg"A"!C28</f>
        <v>0</v>
      </c>
      <c r="D19" s="315">
        <f>Mérleg"A"!D28</f>
        <v>0</v>
      </c>
      <c r="E19" s="295">
        <f>Mérleg"A"!E28</f>
        <v>0</v>
      </c>
    </row>
    <row r="20" spans="1:5" s="1" customFormat="1" ht="21" customHeight="1">
      <c r="A20" s="141" t="s">
        <v>712</v>
      </c>
      <c r="B20" s="140" t="str">
        <f>"III. "&amp;IF(Általános!$B$19=Általános!$F$8,GLOBAL!B47,IF(Általános!$B$19=Általános!$F$9,GLOBAL!C47,IF(Általános!$B$19=Általános!$F$10,GLOBAL!D47)))</f>
        <v>III. BEFEKTETETT PÉNZÜGYI ESZKÖZÖK</v>
      </c>
      <c r="C20" s="295">
        <f>Mérleg"A"!C29</f>
        <v>0</v>
      </c>
      <c r="D20" s="315">
        <f>Mérleg"A"!D29</f>
        <v>0</v>
      </c>
      <c r="E20" s="295">
        <f>Mérleg"A"!E29</f>
        <v>0</v>
      </c>
    </row>
    <row r="21" spans="1:5" s="1" customFormat="1" ht="21" customHeight="1" thickBot="1">
      <c r="A21" s="142" t="s">
        <v>713</v>
      </c>
      <c r="B21" s="143" t="str">
        <f>IF(Általános!$B$19=Általános!$F$8,GLOBAL!B193,IF(Általános!$B$19=Általános!$F$9,GLOBAL!C193,IF(Általános!$B$19=Általános!$F$10,GLOBAL!D193)))</f>
        <v>      6.sorból:Befektetett pénzügyi eszközök értékhelyesbítése</v>
      </c>
      <c r="C21" s="289">
        <f>Mérleg"A"!C36</f>
        <v>0</v>
      </c>
      <c r="D21" s="317">
        <f>Mérleg"A"!D36</f>
        <v>0</v>
      </c>
      <c r="E21" s="289">
        <f>Mérleg"A"!E36</f>
        <v>0</v>
      </c>
    </row>
    <row r="22" spans="1:5" s="94" customFormat="1" ht="21" customHeight="1" thickBot="1">
      <c r="A22" s="141" t="s">
        <v>715</v>
      </c>
      <c r="B22" s="138" t="str">
        <f>"B. "&amp;IF(Általános!$B$19=Általános!$F$8,GLOBAL!B55&amp;" (9-12. sorok)",IF(Általános!$B$19=Általános!$F$9,GLOBAL!C55&amp;" (Lines 9-12)",IF(Általános!$B$19=Általános!$F$10,GLOBAL!D55&amp;" (9-12. Reihe)")))</f>
        <v>B. Forgóeszközök (9-12. sorok)</v>
      </c>
      <c r="C22" s="207">
        <f>SUM(C23:C26)</f>
        <v>81834</v>
      </c>
      <c r="D22" s="206">
        <f>SUM(D23:D26)</f>
        <v>0</v>
      </c>
      <c r="E22" s="207">
        <f>SUM(E23:E26)</f>
        <v>112281</v>
      </c>
    </row>
    <row r="23" spans="1:5" s="1" customFormat="1" ht="21" customHeight="1">
      <c r="A23" s="139" t="s">
        <v>716</v>
      </c>
      <c r="B23" s="140" t="str">
        <f>"I. "&amp;IF(Általános!$B$19=Általános!$F$8,UPPER(GLOBAL!B56),IF(Általános!$B$19=Általános!$F$9,UPPER(GLOBAL!C56),IF(Általános!$B$19=Általános!$F$10,UPPER(GLOBAL!D56))))</f>
        <v>I. KÉSZLETEK</v>
      </c>
      <c r="C23" s="295">
        <v>153</v>
      </c>
      <c r="D23" s="318">
        <f>Mérleg"A"!D54</f>
        <v>0</v>
      </c>
      <c r="E23" s="295">
        <v>691</v>
      </c>
    </row>
    <row r="24" spans="1:5" s="1" customFormat="1" ht="21" customHeight="1">
      <c r="A24" s="141" t="s">
        <v>576</v>
      </c>
      <c r="B24" s="140" t="str">
        <f>"II. "&amp;IF(Általános!$B$19=Általános!$F$8,UPPER(GLOBAL!B63),IF(Általános!$B$19=Általános!$F$9,UPPER(GLOBAL!C63),IF(Általános!$B$19=Általános!$F$10,UPPER(GLOBAL!D63))))</f>
        <v>II. KÖVETELÉSEK</v>
      </c>
      <c r="C24" s="295">
        <v>62174</v>
      </c>
      <c r="D24" s="318">
        <f>Mérleg"A"!D62</f>
        <v>0</v>
      </c>
      <c r="E24" s="295">
        <v>70191</v>
      </c>
    </row>
    <row r="25" spans="1:5" s="1" customFormat="1" ht="21" customHeight="1">
      <c r="A25" s="141" t="s">
        <v>577</v>
      </c>
      <c r="B25" s="140" t="str">
        <f>"III. "&amp;IF(Általános!$B$19=Általános!$F$8,UPPER(GLOBAL!B69),IF(Általános!$B$19=Általános!$F$9,UPPER(GLOBAL!C69),IF(Általános!$B$19=Általános!$F$10,UPPER(GLOBAL!D69))))</f>
        <v>III. ÉRTÉKPAPÍROK</v>
      </c>
      <c r="C25" s="295"/>
      <c r="D25" s="318">
        <f>Mérleg"A"!D68</f>
        <v>0</v>
      </c>
      <c r="E25" s="295"/>
    </row>
    <row r="26" spans="1:5" s="1" customFormat="1" ht="21" customHeight="1" thickBot="1">
      <c r="A26" s="142" t="s">
        <v>578</v>
      </c>
      <c r="B26" s="140" t="str">
        <f>"IV. "&amp;IF(Általános!$B$19=Általános!$F$8,GLOBAL!B74,IF(Általános!$B$19=Általános!$F$9,GLOBAL!C74,IF(Általános!$B$19=Általános!$F$10,GLOBAL!D74)))</f>
        <v>IV. PÉNZESZKÖZÖK</v>
      </c>
      <c r="C26" s="295">
        <v>19507</v>
      </c>
      <c r="D26" s="318">
        <f>Mérleg"A"!D73</f>
        <v>0</v>
      </c>
      <c r="E26" s="295">
        <v>41399</v>
      </c>
    </row>
    <row r="27" spans="1:5" s="94" customFormat="1" ht="21" customHeight="1" thickBot="1">
      <c r="A27" s="137" t="s">
        <v>1192</v>
      </c>
      <c r="B27" s="138" t="str">
        <f>"C. "&amp;IF(Általános!$B$19=Általános!$F$8,GLOBAL!B77,IF(Általános!$B$19=Általános!$F$9,GLOBAL!C77,IF(Általános!$B$19=Általános!$F$10,GLOBAL!D77)))</f>
        <v>C. Aktív időbeli elhatárolások</v>
      </c>
      <c r="C27" s="221">
        <v>45031</v>
      </c>
      <c r="D27" s="206">
        <f>Mérleg"A"!D76</f>
        <v>0</v>
      </c>
      <c r="E27" s="221">
        <v>45580</v>
      </c>
    </row>
    <row r="28" spans="1:5" s="1" customFormat="1" ht="9.75" customHeight="1" thickBot="1">
      <c r="A28" s="146"/>
      <c r="B28" s="147"/>
      <c r="C28" s="210"/>
      <c r="D28" s="209"/>
      <c r="E28" s="210"/>
    </row>
    <row r="29" spans="1:5" s="94" customFormat="1" ht="21" customHeight="1" thickBot="1">
      <c r="A29" s="137" t="s">
        <v>1193</v>
      </c>
      <c r="B29" s="138" t="str">
        <f>IF(Általános!$B$19=Általános!$F$8,GLOBAL!B81&amp;" (1+8+13.sor)",IF(Általános!$B$19=Általános!$F$9,GLOBAL!C81&amp;" (Lines1+8+13)",IF(Általános!$B$19=Általános!$F$10,GLOBAL!D81&amp;" (1+8+13. Reihe)")))</f>
        <v>ESZKÖZÖK (AKTÍVÁK) ÖSSZESEN (1+8+13.sor)</v>
      </c>
      <c r="C29" s="207">
        <f>C27+C22+C15</f>
        <v>168370</v>
      </c>
      <c r="D29" s="206">
        <f>D27+D22+D15</f>
        <v>0</v>
      </c>
      <c r="E29" s="207">
        <f>E27+E22+E15</f>
        <v>199820</v>
      </c>
    </row>
    <row r="30" spans="1:5" ht="39" customHeight="1">
      <c r="A30" s="148"/>
      <c r="B30" s="149"/>
      <c r="C30" s="150"/>
      <c r="D30" s="150"/>
      <c r="E30" s="151"/>
    </row>
    <row r="31" spans="1:5" s="145" customFormat="1" ht="12.75" customHeight="1">
      <c r="A31" s="32" t="str">
        <f>'Beszámoló Fedlap'!B47</f>
        <v>Keltezés:</v>
      </c>
      <c r="D31" s="152"/>
      <c r="E31" s="152"/>
    </row>
    <row r="32" spans="1:5" ht="12.75" customHeight="1">
      <c r="A32" s="1"/>
      <c r="B32" s="263" t="str">
        <f>'Beszámoló Fedlap'!E47</f>
        <v>Komárom, 2016.04.29.</v>
      </c>
      <c r="C32" s="33"/>
      <c r="D32" s="150"/>
      <c r="E32" s="150"/>
    </row>
    <row r="33" spans="1:5" ht="21" customHeight="1">
      <c r="A33" s="148"/>
      <c r="B33" s="180" t="str">
        <f>"                  "&amp;'Beszámoló Fedlap'!A44</f>
        <v>                        P.H.</v>
      </c>
      <c r="C33" s="358"/>
      <c r="D33" s="358"/>
      <c r="E33" s="359"/>
    </row>
    <row r="34" spans="1:5" ht="21" customHeight="1">
      <c r="A34" s="148"/>
      <c r="B34" s="149"/>
      <c r="C34" s="360" t="str">
        <f>Mérleg"A"!C41</f>
        <v>vállalakozás vezetője</v>
      </c>
      <c r="D34" s="360"/>
      <c r="E34" s="360"/>
    </row>
    <row r="35" spans="1:5" ht="21" customHeight="1">
      <c r="A35" s="148"/>
      <c r="B35" s="149"/>
      <c r="C35" s="360" t="str">
        <f>Mérleg"A"!C42</f>
        <v>(képviselője)</v>
      </c>
      <c r="D35" s="360"/>
      <c r="E35" s="360"/>
    </row>
    <row r="36" spans="1:5" ht="21" customHeight="1">
      <c r="A36" s="148"/>
      <c r="B36" s="149"/>
      <c r="C36" s="150"/>
      <c r="D36" s="150"/>
      <c r="E36" s="151"/>
    </row>
    <row r="37" spans="1:5" s="145" customFormat="1" ht="21" customHeight="1">
      <c r="A37" s="148"/>
      <c r="B37" s="153"/>
      <c r="C37" s="152"/>
      <c r="D37" s="152"/>
      <c r="E37" s="154"/>
    </row>
    <row r="38" spans="1:5" s="145" customFormat="1" ht="21" customHeight="1">
      <c r="A38" s="148"/>
      <c r="B38" s="153"/>
      <c r="C38" s="152"/>
      <c r="D38" s="152"/>
      <c r="E38" s="152"/>
    </row>
    <row r="39" spans="1:2" s="97" customFormat="1" ht="15" customHeight="1" thickBot="1">
      <c r="A39" s="95" t="str">
        <f>A1</f>
        <v>Statitsztikai számjel: 11183855353011311</v>
      </c>
      <c r="B39" s="96"/>
    </row>
    <row r="40" spans="1:5" s="97" customFormat="1" ht="15" customHeight="1" thickBot="1">
      <c r="A40" s="95" t="str">
        <f aca="true" t="shared" si="0" ref="A40:B42">A2</f>
        <v>Cégjegyzék szám: 11-09-002700</v>
      </c>
      <c r="B40" s="7"/>
      <c r="E40" s="100">
        <v>12</v>
      </c>
    </row>
    <row r="41" spans="1:2" s="97" customFormat="1" ht="15" customHeight="1">
      <c r="A41" s="95" t="str">
        <f t="shared" si="0"/>
        <v>A vállalkozás megnevezése</v>
      </c>
      <c r="B41" s="96"/>
    </row>
    <row r="42" spans="2:5" s="97" customFormat="1" ht="16.5" customHeight="1">
      <c r="B42" s="105" t="str">
        <f t="shared" si="0"/>
        <v>Komáromi Távhő Kft</v>
      </c>
      <c r="E42" s="101"/>
    </row>
    <row r="43" spans="1:5" s="1" customFormat="1" ht="18" customHeight="1">
      <c r="A43" s="102" t="str">
        <f>A5</f>
        <v>Egyszerűsített éves beszámoló MÉRLEGE "A" változat</v>
      </c>
      <c r="B43" s="103"/>
      <c r="C43" s="104"/>
      <c r="D43" s="28"/>
      <c r="E43" s="42"/>
    </row>
    <row r="44" spans="1:5" s="1" customFormat="1" ht="18" customHeight="1">
      <c r="A44" s="102" t="str">
        <f>Mérleg"A"!A93</f>
        <v>Források (passzívák)</v>
      </c>
      <c r="B44" s="103"/>
      <c r="C44" s="104"/>
      <c r="D44" s="28"/>
      <c r="E44" s="42"/>
    </row>
    <row r="45" spans="1:5" s="1" customFormat="1" ht="16.5" customHeight="1">
      <c r="A45" s="42" t="str">
        <f>A7</f>
        <v>Az üzleti év mérlegfordulónapja: 2016.december 31. Hőszolg.</v>
      </c>
      <c r="B45" s="103"/>
      <c r="C45" s="104"/>
      <c r="D45" s="28"/>
      <c r="E45" s="42"/>
    </row>
    <row r="46" spans="1:4" s="1" customFormat="1" ht="16.5" customHeight="1">
      <c r="A46" s="42"/>
      <c r="B46" s="103"/>
      <c r="C46" s="104"/>
      <c r="D46" s="4"/>
    </row>
    <row r="47" spans="1:5" s="1" customFormat="1" ht="16.5" customHeight="1">
      <c r="A47" s="123" t="str">
        <f>A10</f>
        <v>A közzétett adatokat könyvvizsgáló ellenőrizte</v>
      </c>
      <c r="B47" s="103"/>
      <c r="C47" s="104"/>
      <c r="D47" s="28"/>
      <c r="E47" s="42"/>
    </row>
    <row r="48" spans="1:4" s="1" customFormat="1" ht="16.5" customHeight="1">
      <c r="A48" s="42"/>
      <c r="B48" s="103"/>
      <c r="C48" s="104"/>
      <c r="D48" s="4"/>
    </row>
    <row r="49" spans="1:5" s="4" customFormat="1" ht="13.5" thickBot="1">
      <c r="A49" s="1"/>
      <c r="B49" s="103"/>
      <c r="C49" s="1"/>
      <c r="D49" s="1"/>
      <c r="E49" s="5" t="s">
        <v>1527</v>
      </c>
    </row>
    <row r="50" spans="1:5" s="4" customFormat="1" ht="36" customHeight="1">
      <c r="A50" s="130" t="str">
        <f>A13</f>
        <v>Sor-szám</v>
      </c>
      <c r="B50" s="58" t="str">
        <f>B13</f>
        <v>A tétel megnevezése</v>
      </c>
      <c r="C50" s="224">
        <v>2015</v>
      </c>
      <c r="D50" s="132" t="str">
        <f>D13</f>
        <v>Előző év(ek) módosításai</v>
      </c>
      <c r="E50" s="361" t="str">
        <f>E13</f>
        <v>Tárgyév</v>
      </c>
    </row>
    <row r="51" spans="1:5" s="4" customFormat="1" ht="10.5" customHeight="1" thickBot="1">
      <c r="A51" s="133" t="s">
        <v>1530</v>
      </c>
      <c r="B51" s="59" t="s">
        <v>1531</v>
      </c>
      <c r="C51" s="134" t="s">
        <v>1532</v>
      </c>
      <c r="D51" s="135" t="s">
        <v>565</v>
      </c>
      <c r="E51" s="136" t="s">
        <v>566</v>
      </c>
    </row>
    <row r="52" spans="1:5" s="19" customFormat="1" ht="21" customHeight="1" thickBot="1">
      <c r="A52" s="137" t="s">
        <v>1194</v>
      </c>
      <c r="B52" s="138" t="str">
        <f>"D. "&amp;IF(Általános!$B$19=Általános!$F$8,GLOBAL!B82&amp;" (16+18+19+20+21+22+23.sorok)",IF(Általános!$B$19=Általános!$F$9,GLOBAL!C82&amp;" (Lines 16+18+19+20+21+22+23)",IF(Általános!$B$19=Általános!$F$10,GLOBAL!D82&amp;" (16+18+19+20+21+22+23. Reihe)")))</f>
        <v>D. Saját tőke (16+18+19+20+21+22+23.sorok)</v>
      </c>
      <c r="C52" s="207">
        <f>C53+C55+C56+C57+C58+C59+C60</f>
        <v>453026</v>
      </c>
      <c r="D52" s="206">
        <f>D53+D55+D56+D57+D58+D59+D60</f>
        <v>0</v>
      </c>
      <c r="E52" s="207">
        <f>E53+E55+E56+E57+E58+E59+E60</f>
        <v>486882</v>
      </c>
    </row>
    <row r="53" spans="1:5" s="4" customFormat="1" ht="21" customHeight="1">
      <c r="A53" s="139" t="s">
        <v>1195</v>
      </c>
      <c r="B53" s="181" t="str">
        <f>Mérleg"A"!B105</f>
        <v>I. JEGYZETT TŐKE</v>
      </c>
      <c r="C53" s="1367">
        <v>89930</v>
      </c>
      <c r="D53" s="1366">
        <f>Mérleg"A"!D105</f>
        <v>0</v>
      </c>
      <c r="E53" s="1367">
        <v>106706</v>
      </c>
    </row>
    <row r="54" spans="1:5" s="48" customFormat="1" ht="21" customHeight="1">
      <c r="A54" s="141" t="s">
        <v>1196</v>
      </c>
      <c r="B54" s="156" t="str">
        <f>IF(Általános!$B$19=Általános!$F$8,GLOBAL!B194,IF(Általános!$B$19=Általános!$F$9,GLOBAL!C194,IF(Általános!$B$19=Általános!$F$10,GLOBAL!D194)))</f>
        <v>    16. sorból:a) visszavásárolt tulajdonosi részesedés névértéken</v>
      </c>
      <c r="C54" s="316"/>
      <c r="D54" s="315">
        <f>Mérleg"A"!D106</f>
        <v>0</v>
      </c>
      <c r="E54" s="316"/>
    </row>
    <row r="55" spans="1:5" s="48" customFormat="1" ht="21" customHeight="1">
      <c r="A55" s="141" t="s">
        <v>1197</v>
      </c>
      <c r="B55" s="157" t="str">
        <f>Mérleg"A"!B107</f>
        <v>II. JEGYZETT, DE MÉG BE NEM FIZETETT TŐKE ( - )</v>
      </c>
      <c r="C55" s="316"/>
      <c r="D55" s="315">
        <f>Mérleg"A"!D107</f>
        <v>0</v>
      </c>
      <c r="E55" s="316"/>
    </row>
    <row r="56" spans="1:5" s="4" customFormat="1" ht="21" customHeight="1">
      <c r="A56" s="141" t="s">
        <v>1198</v>
      </c>
      <c r="B56" s="157" t="str">
        <f>Mérleg"A"!B108</f>
        <v>III. TŐKETARTALÉK</v>
      </c>
      <c r="C56" s="316">
        <v>9976</v>
      </c>
      <c r="D56" s="315">
        <f>Mérleg"A"!D108</f>
        <v>0</v>
      </c>
      <c r="E56" s="316">
        <v>39665</v>
      </c>
    </row>
    <row r="57" spans="1:5" s="4" customFormat="1" ht="21" customHeight="1">
      <c r="A57" s="141" t="s">
        <v>1199</v>
      </c>
      <c r="B57" s="157" t="str">
        <f>Mérleg"A"!B109</f>
        <v>IV. EREDMÉNYTARTALÉK</v>
      </c>
      <c r="C57" s="316">
        <v>-16546</v>
      </c>
      <c r="D57" s="315">
        <f>Mérleg"A"!D109</f>
        <v>0</v>
      </c>
      <c r="E57" s="316">
        <v>-31640</v>
      </c>
    </row>
    <row r="58" spans="1:5" s="4" customFormat="1" ht="21" customHeight="1">
      <c r="A58" s="141" t="s">
        <v>1200</v>
      </c>
      <c r="B58" s="157" t="str">
        <f>Mérleg"A"!B110</f>
        <v>V. LEKÖTÖTT TARTALÉK</v>
      </c>
      <c r="C58" s="316">
        <v>860</v>
      </c>
      <c r="D58" s="315">
        <f>Mérleg"A"!D110</f>
        <v>0</v>
      </c>
      <c r="E58" s="316"/>
    </row>
    <row r="59" spans="1:5" s="4" customFormat="1" ht="21" customHeight="1">
      <c r="A59" s="141" t="s">
        <v>1201</v>
      </c>
      <c r="B59" s="157" t="str">
        <f>Mérleg"A"!B111</f>
        <v>VI. ÉRTÉKELÉSI TARTALÉK</v>
      </c>
      <c r="C59" s="316"/>
      <c r="D59" s="315">
        <f>Mérleg"A"!D111</f>
        <v>0</v>
      </c>
      <c r="E59" s="316"/>
    </row>
    <row r="60" spans="1:5" s="4" customFormat="1" ht="21" customHeight="1" thickBot="1">
      <c r="A60" s="142" t="s">
        <v>1202</v>
      </c>
      <c r="B60" s="157" t="str">
        <f>Mérleg"A"!B112</f>
        <v>VII. MÉRLEG SZERINTI EREDMÉNY</v>
      </c>
      <c r="C60" s="1369">
        <v>368806</v>
      </c>
      <c r="D60" s="1368">
        <f>Mérleg"A"!D112</f>
        <v>0</v>
      </c>
      <c r="E60" s="1369">
        <v>372151</v>
      </c>
    </row>
    <row r="61" spans="1:5" s="19" customFormat="1" ht="21" customHeight="1" thickBot="1">
      <c r="A61" s="137" t="s">
        <v>1203</v>
      </c>
      <c r="B61" s="138" t="str">
        <f>"E. "&amp;IF(Általános!$B$19=Általános!$F$8,GLOBAL!B91,IF(Általános!$B$19=Általános!$F$9,GLOBAL!C91,IF(Általános!$B$19=Általános!$F$10,GLOBAL!D91)))</f>
        <v>E. Céltartalékok</v>
      </c>
      <c r="C61" s="207">
        <f>Mérleg"A"!C113</f>
        <v>0</v>
      </c>
      <c r="D61" s="205">
        <f>Mérleg"A"!D113</f>
        <v>0</v>
      </c>
      <c r="E61" s="207">
        <f>Mérleg"A"!E113</f>
        <v>0</v>
      </c>
    </row>
    <row r="62" spans="1:5" s="19" customFormat="1" ht="21" customHeight="1" thickBot="1">
      <c r="A62" s="137" t="s">
        <v>1204</v>
      </c>
      <c r="B62" s="138" t="str">
        <f>"F. "&amp;IF(Általános!$B$19=Általános!$F$8,GLOBAL!B95&amp;" (26.-28. sorok)",IF(Általános!$B$19=Általános!$F$9,GLOBAL!C95&amp;" (Lines 26-28)",IF(Általános!$B$19=Általános!$F$10,GLOBAL!D95&amp;" (26.-28. Reihe)")))</f>
        <v>F. Kötelezettségek (26.-28. sorok)</v>
      </c>
      <c r="C62" s="207">
        <f>SUM(C63:C65)</f>
        <v>79967</v>
      </c>
      <c r="D62" s="206">
        <f>SUM(D63:D65)</f>
        <v>0</v>
      </c>
      <c r="E62" s="207">
        <f>SUM(E63:E65)</f>
        <v>73119</v>
      </c>
    </row>
    <row r="63" spans="1:5" s="4" customFormat="1" ht="21" customHeight="1">
      <c r="A63" s="139" t="s">
        <v>1207</v>
      </c>
      <c r="B63" s="140" t="str">
        <f>"I. "&amp;IF(Általános!$B$19=Általános!$F$8,UPPER(GLOBAL!B96),IF(Általános!$B$19=Általános!$F$9,UPPER(GLOBAL!C96),IF(Általános!$B$19=Általános!$F$10,UPPER(GLOBAL!D96))))</f>
        <v>I. HÁTRASOROLT KÖTELEZETTSÉGEK</v>
      </c>
      <c r="C63" s="295">
        <f>Mérleg"A"!C118</f>
        <v>0</v>
      </c>
      <c r="D63" s="318">
        <f>Mérleg"A"!D118</f>
        <v>0</v>
      </c>
      <c r="E63" s="295">
        <f>Mérleg"A"!E118</f>
        <v>0</v>
      </c>
    </row>
    <row r="64" spans="1:5" s="4" customFormat="1" ht="21" customHeight="1">
      <c r="A64" s="141" t="s">
        <v>1208</v>
      </c>
      <c r="B64" s="140" t="str">
        <f>"II. "&amp;IF(Általános!$B$19=Általános!$F$8,UPPER(GLOBAL!B100),IF(Általános!$B$19=Általános!$F$9,UPPER(GLOBAL!C100),IF(Általános!$B$19=Általános!$F$10,UPPER(GLOBAL!D100))))</f>
        <v>II. HOSSZÚ LEJÁRATÚ KÖTELEZETTSÉGEK</v>
      </c>
      <c r="C64" s="295"/>
      <c r="D64" s="318">
        <f>Mérleg"A"!D143</f>
        <v>0</v>
      </c>
      <c r="E64" s="295"/>
    </row>
    <row r="65" spans="1:5" s="4" customFormat="1" ht="21" customHeight="1" thickBot="1">
      <c r="A65" s="142" t="s">
        <v>1209</v>
      </c>
      <c r="B65" s="140" t="str">
        <f>"III. "&amp;IF(Általános!$B$19=Általános!$F$8,UPPER(GLOBAL!B109),IF(Általános!$B$19=Általános!$F$9,UPPER(GLOBAL!C109),IF(Általános!$B$19=Általános!$F$10,UPPER(GLOBAL!D109))))</f>
        <v>III. RÖVID LEJÁRATÚ KÖTELEZETTSÉGEK</v>
      </c>
      <c r="C65" s="295">
        <v>79967</v>
      </c>
      <c r="D65" s="318">
        <f>Mérleg"A"!D152</f>
        <v>0</v>
      </c>
      <c r="E65" s="295">
        <v>73119</v>
      </c>
    </row>
    <row r="66" spans="1:5" s="19" customFormat="1" ht="21" customHeight="1" thickBot="1">
      <c r="A66" s="137" t="s">
        <v>1210</v>
      </c>
      <c r="B66" s="138" t="str">
        <f>"G. "&amp;IF(Általános!$B$19=Általános!$F$8,GLOBAL!B119,IF(Általános!$B$19=Általános!$F$9,GLOBAL!C119,IF(Általános!$B$19=Általános!$F$10,GLOBAL!D119)))</f>
        <v>G. Passzív időbeli elhatárolások</v>
      </c>
      <c r="C66" s="221">
        <v>3317</v>
      </c>
      <c r="D66" s="206">
        <f>Mérleg"A"!D162</f>
        <v>0</v>
      </c>
      <c r="E66" s="221">
        <v>3514</v>
      </c>
    </row>
    <row r="67" spans="1:5" s="4" customFormat="1" ht="16.5" customHeight="1" thickBot="1">
      <c r="A67" s="146"/>
      <c r="B67" s="147" t="s">
        <v>1403</v>
      </c>
      <c r="C67" s="210">
        <v>-367940</v>
      </c>
      <c r="D67" s="209"/>
      <c r="E67" s="210">
        <v>-363695</v>
      </c>
    </row>
    <row r="68" spans="1:5" s="19" customFormat="1" ht="21" customHeight="1" thickBot="1">
      <c r="A68" s="137" t="s">
        <v>1156</v>
      </c>
      <c r="B68" s="138" t="str">
        <f>IF(Általános!$B$19=Általános!$F$8,GLOBAL!B123&amp;" (15+24+25+29.sor)",IF(Általános!$B$19=Általános!$F$9,GLOBAL!C123&amp;" (Lines15+24+25+29)",IF(Általános!$B$19=Általános!$F$10,GLOBAL!D123&amp;" (15+24+25+29. Reihe)")))</f>
        <v>FORRÁSOK (PASSZÍVÁK) ÖSSZESEN (15+24+25+29.sor)</v>
      </c>
      <c r="C68" s="207">
        <f>C52+C61+C62+C66+C67</f>
        <v>168370</v>
      </c>
      <c r="D68" s="206">
        <f>D52+D61+D62+D66</f>
        <v>0</v>
      </c>
      <c r="E68" s="207">
        <f>E52+E61+E62+E66+E67</f>
        <v>199820</v>
      </c>
    </row>
    <row r="69" spans="1:5" s="4" customFormat="1" ht="12.75">
      <c r="A69" s="1"/>
      <c r="B69" s="1"/>
      <c r="C69" s="1"/>
      <c r="D69" s="1"/>
      <c r="E69" s="1"/>
    </row>
    <row r="70" spans="1:5" s="4" customFormat="1" ht="12.75">
      <c r="A70" s="32" t="str">
        <f>A31</f>
        <v>Keltezés:</v>
      </c>
      <c r="B70" s="1"/>
      <c r="D70" s="1"/>
      <c r="E70" s="1"/>
    </row>
    <row r="71" spans="1:5" s="4" customFormat="1" ht="12.75">
      <c r="A71" s="1"/>
      <c r="B71" s="33" t="str">
        <f>B32</f>
        <v>Komárom, 2016.04.29.</v>
      </c>
      <c r="C71" s="33"/>
      <c r="D71" s="158"/>
      <c r="E71" s="1"/>
    </row>
    <row r="72" spans="1:5" s="4" customFormat="1" ht="12.75">
      <c r="A72" s="1"/>
      <c r="B72" s="180" t="str">
        <f>B33</f>
        <v>                        P.H.</v>
      </c>
      <c r="C72" s="24"/>
      <c r="D72" s="24"/>
      <c r="E72" s="24"/>
    </row>
    <row r="73" spans="3:5" s="1" customFormat="1" ht="12.75">
      <c r="C73" s="42" t="str">
        <f>C34</f>
        <v>vállalakozás vezetője</v>
      </c>
      <c r="D73" s="42"/>
      <c r="E73" s="42"/>
    </row>
    <row r="74" spans="3:5" s="1" customFormat="1" ht="12.75">
      <c r="C74" s="42" t="str">
        <f>C35</f>
        <v>(képviselője)</v>
      </c>
      <c r="D74" s="42"/>
      <c r="E74" s="42"/>
    </row>
    <row r="75" s="1" customFormat="1" ht="12.75"/>
    <row r="76" s="1" customFormat="1" ht="12.75"/>
    <row r="77" s="1" customFormat="1" ht="12.75"/>
    <row r="78" ht="12.75">
      <c r="E78" s="144"/>
    </row>
    <row r="79" ht="12.75">
      <c r="E79" s="144"/>
    </row>
    <row r="80" ht="12.75">
      <c r="E80" s="144"/>
    </row>
    <row r="81" ht="12.75">
      <c r="E81" s="144"/>
    </row>
    <row r="82" ht="12.75">
      <c r="E82" s="144"/>
    </row>
    <row r="83" ht="12.75">
      <c r="E83" s="144"/>
    </row>
    <row r="84" ht="12.75">
      <c r="E84" s="144"/>
    </row>
  </sheetData>
  <sheetProtection/>
  <printOptions horizontalCentered="1"/>
  <pageMargins left="0.3937007874015748" right="0.3937007874015748" top="0.7874015748031497" bottom="0.7874015748031497" header="0.7874015748031497" footer="0.7874015748031497"/>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Munka10"/>
  <dimension ref="A1:F40"/>
  <sheetViews>
    <sheetView showZeros="0" workbookViewId="0" topLeftCell="A10">
      <selection activeCell="K40" sqref="K40"/>
    </sheetView>
  </sheetViews>
  <sheetFormatPr defaultColWidth="9.00390625" defaultRowHeight="12.75"/>
  <cols>
    <col min="1" max="1" width="5.75390625" style="1" customWidth="1"/>
    <col min="2" max="2" width="52.75390625" style="1" customWidth="1"/>
    <col min="3" max="5" width="10.75390625" style="1" customWidth="1"/>
    <col min="6" max="6" width="4.75390625" style="1" customWidth="1"/>
    <col min="7" max="16384" width="9.125" style="1"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31</v>
      </c>
      <c r="F2" s="98"/>
    </row>
    <row r="3" spans="1:6" s="97" customFormat="1" ht="15" customHeight="1">
      <c r="A3" s="95" t="str">
        <f>Mérleg"A"!A3</f>
        <v>A vállalkozás megnevezése</v>
      </c>
      <c r="B3" s="96"/>
      <c r="F3" s="98"/>
    </row>
    <row r="4" spans="2:6" s="97" customFormat="1" ht="16.5" customHeight="1">
      <c r="B4" s="105" t="str">
        <f>Mérleg"A"!B4</f>
        <v>Komáromi Távhő Kft</v>
      </c>
      <c r="E4" s="101"/>
      <c r="F4" s="98"/>
    </row>
    <row r="5" spans="1:6" ht="18" customHeight="1">
      <c r="A5" s="102" t="str">
        <f>IF(Általános!$B$19=Általános!$F$8,GLOBAL!B195,IF(Általános!$B$19=Általános!$F$9,GLOBAL!C195,IF(Általános!$B$19=Általános!$F$10,GLOBAL!D195)))</f>
        <v>Egyszerűsített éves beszámoló összköltség eljárással készített</v>
      </c>
      <c r="B5" s="103"/>
      <c r="C5" s="42"/>
      <c r="D5" s="42"/>
      <c r="E5" s="104"/>
      <c r="F5" s="28"/>
    </row>
    <row r="6" spans="1:6" ht="18" customHeight="1">
      <c r="A6" s="102" t="str">
        <f>IF(Általános!$B$19=Általános!$F$8,GLOBAL!B196,IF(Általános!$B$19=Általános!$F$9,GLOBAL!C196,IF(Általános!$B$19=Általános!$F$10,GLOBAL!D196)))</f>
        <v>EREDMÉNYKIMUTATÁSA "A" változat</v>
      </c>
      <c r="B6" s="103"/>
      <c r="C6" s="42"/>
      <c r="D6" s="42"/>
      <c r="E6" s="104"/>
      <c r="F6" s="28"/>
    </row>
    <row r="7" spans="1:6" ht="16.5" customHeight="1">
      <c r="A7" s="42" t="str">
        <f>Mérleg"A"!A7</f>
        <v>Az üzleti év mérlegfordulónapja: 2016.december 31. Hőszolg.</v>
      </c>
      <c r="B7" s="103"/>
      <c r="C7" s="42"/>
      <c r="D7" s="42"/>
      <c r="E7" s="104"/>
      <c r="F7" s="28"/>
    </row>
    <row r="8" spans="1:6" s="4" customFormat="1" ht="12.75">
      <c r="A8" s="1"/>
      <c r="B8" s="7"/>
      <c r="C8" s="1"/>
      <c r="D8" s="1"/>
      <c r="E8" s="3"/>
      <c r="F8" s="1"/>
    </row>
    <row r="9" spans="1:6" s="4" customFormat="1" ht="15">
      <c r="A9" s="127" t="str">
        <f>Mérleg"A"!A8</f>
        <v>A közzétett adatokat könyvvizsgáló ellenőrizte</v>
      </c>
      <c r="B9" s="103"/>
      <c r="C9" s="42"/>
      <c r="D9" s="42"/>
      <c r="E9" s="42"/>
      <c r="F9" s="42"/>
    </row>
    <row r="10" spans="1:6" s="4" customFormat="1" ht="12.75">
      <c r="A10" s="1"/>
      <c r="B10" s="7"/>
      <c r="C10" s="1"/>
      <c r="D10" s="1"/>
      <c r="E10" s="3"/>
      <c r="F10" s="1"/>
    </row>
    <row r="11" spans="1:6" s="4" customFormat="1" ht="13.5" thickBot="1">
      <c r="A11" s="1"/>
      <c r="C11" s="1"/>
      <c r="D11" s="1"/>
      <c r="E11" s="5" t="str">
        <f>Mérleg"A"!E9</f>
        <v>Adatok E Ft-ban</v>
      </c>
      <c r="F11" s="1"/>
    </row>
    <row r="12" spans="1:6" s="4" customFormat="1" ht="36" customHeight="1">
      <c r="A12" s="12" t="str">
        <f>Mérleg"A"!A10</f>
        <v>Sor-szám</v>
      </c>
      <c r="B12" s="159" t="str">
        <f>Mérleg"A"!B10</f>
        <v>A tétel megnevezése</v>
      </c>
      <c r="C12" s="224">
        <v>2015</v>
      </c>
      <c r="D12" s="160" t="str">
        <f>Mérleg"A"!D10</f>
        <v>Előző év(ek) módosításai</v>
      </c>
      <c r="E12" s="225" t="str">
        <f>Mérleg"A"!E10</f>
        <v>Tárgyév</v>
      </c>
      <c r="F12" s="161"/>
    </row>
    <row r="13" spans="1:6" s="4" customFormat="1" ht="13.5" thickBot="1">
      <c r="A13" s="2" t="s">
        <v>1530</v>
      </c>
      <c r="B13" s="55" t="s">
        <v>1531</v>
      </c>
      <c r="C13" s="62" t="s">
        <v>1532</v>
      </c>
      <c r="D13" s="62" t="s">
        <v>565</v>
      </c>
      <c r="E13" s="162" t="s">
        <v>566</v>
      </c>
      <c r="F13" s="161"/>
    </row>
    <row r="14" spans="1:6" s="4" customFormat="1" ht="21" customHeight="1">
      <c r="A14" s="163" t="s">
        <v>1082</v>
      </c>
      <c r="B14" s="164" t="str">
        <f>IF(Általános!$B$19=Általános!$F$8,GLOBAL!B128,IF(Általános!$B$19=Általános!$F$9,GLOBAL!C128,IF(Általános!$B$19=Általános!$F$10,GLOBAL!D128)))</f>
        <v>Értékesítés nettó árbevétele</v>
      </c>
      <c r="C14" s="1367">
        <v>356933</v>
      </c>
      <c r="D14" s="1562">
        <f>EredmÖsszktsg"A"!D14</f>
        <v>0</v>
      </c>
      <c r="E14" s="1367">
        <v>370490</v>
      </c>
      <c r="F14" s="165" t="s">
        <v>1079</v>
      </c>
    </row>
    <row r="15" spans="1:6" s="4" customFormat="1" ht="21" customHeight="1">
      <c r="A15" s="166" t="s">
        <v>1088</v>
      </c>
      <c r="B15" s="167" t="str">
        <f>IF(Általános!$B$19=Általános!$F$8,GLOBAL!B131,IF(Általános!$B$19=Általános!$F$9,GLOBAL!C131,IF(Általános!$B$19=Általános!$F$10,GLOBAL!D131)))</f>
        <v>Aktivált saját teljesítmények értéke</v>
      </c>
      <c r="C15" s="316"/>
      <c r="D15" s="318">
        <f>EredmÖsszktsg"A"!D17</f>
        <v>0</v>
      </c>
      <c r="E15" s="316"/>
      <c r="F15" s="165" t="s">
        <v>1081</v>
      </c>
    </row>
    <row r="16" spans="1:6" s="4" customFormat="1" ht="21" customHeight="1">
      <c r="A16" s="166" t="s">
        <v>1090</v>
      </c>
      <c r="B16" s="167" t="str">
        <f>IF(Általános!$B$19=Általános!$F$8,GLOBAL!B132,IF(Általános!$B$19=Általános!$F$9,GLOBAL!C132,IF(Általános!$B$19=Általános!$F$10,GLOBAL!D132)))</f>
        <v>Egyéb bevételek</v>
      </c>
      <c r="C16" s="316">
        <v>132791</v>
      </c>
      <c r="D16" s="318">
        <f>EredmÖsszktsg"A"!D18</f>
        <v>0</v>
      </c>
      <c r="E16" s="316">
        <v>91863</v>
      </c>
      <c r="F16" s="165" t="s">
        <v>1083</v>
      </c>
    </row>
    <row r="17" spans="1:6" s="4" customFormat="1" ht="21" customHeight="1">
      <c r="A17" s="166"/>
      <c r="B17" s="167" t="str">
        <f>IF(Általános!$B$19=Általános!$F$8,GLOBAL!B133,IF(Általános!$B$19=Általános!$F$9,GLOBAL!C133,IF(Általános!$B$19=Általános!$F$10,GLOBAL!D133)))</f>
        <v>     III.sorból: visszaírt értékvesztés</v>
      </c>
      <c r="C17" s="316"/>
      <c r="D17" s="318">
        <f>EredmÖsszktsg"A"!D19</f>
        <v>0</v>
      </c>
      <c r="E17" s="316"/>
      <c r="F17" s="165" t="s">
        <v>1085</v>
      </c>
    </row>
    <row r="18" spans="1:6" s="4" customFormat="1" ht="21" customHeight="1">
      <c r="A18" s="166" t="s">
        <v>1108</v>
      </c>
      <c r="B18" s="167" t="str">
        <f>IF(Általános!$B$19=Általános!$F$8,GLOBAL!B139,IF(Általános!$B$19=Általános!$F$9,GLOBAL!C139,IF(Általános!$B$19=Általános!$F$10,GLOBAL!D139)))</f>
        <v>Anyagjellegű ráfordítások</v>
      </c>
      <c r="C18" s="316">
        <v>42373</v>
      </c>
      <c r="D18" s="318">
        <f>EredmÖsszktsg"A"!D25</f>
        <v>0</v>
      </c>
      <c r="E18" s="316">
        <v>54008</v>
      </c>
      <c r="F18" s="165" t="s">
        <v>1087</v>
      </c>
    </row>
    <row r="19" spans="1:6" s="4" customFormat="1" ht="21" customHeight="1">
      <c r="A19" s="166" t="s">
        <v>1116</v>
      </c>
      <c r="B19" s="167" t="str">
        <f>IF(Általános!$B$19=Általános!$F$8,GLOBAL!B143,IF(Általános!$B$19=Általános!$F$9,GLOBAL!C143,IF(Általános!$B$19=Általános!$F$10,GLOBAL!D143)))</f>
        <v>Személyi jellegű ráfordítások</v>
      </c>
      <c r="C19" s="316">
        <v>29036</v>
      </c>
      <c r="D19" s="318">
        <f>EredmÖsszktsg"A"!D29</f>
        <v>0</v>
      </c>
      <c r="E19" s="316">
        <v>25630</v>
      </c>
      <c r="F19" s="165" t="s">
        <v>1089</v>
      </c>
    </row>
    <row r="20" spans="1:6" s="4" customFormat="1" ht="21" customHeight="1">
      <c r="A20" s="166" t="s">
        <v>1118</v>
      </c>
      <c r="B20" s="167" t="str">
        <f>IF(Általános!$B$19=Általános!$F$8,GLOBAL!B144,IF(Általános!$B$19=Általános!$F$9,GLOBAL!C144,IF(Általános!$B$19=Általános!$F$10,GLOBAL!D144)))</f>
        <v>Értékcsökkenési leírás</v>
      </c>
      <c r="C20" s="316">
        <v>9520</v>
      </c>
      <c r="D20" s="318">
        <f>EredmÖsszktsg"A"!D30</f>
        <v>0</v>
      </c>
      <c r="E20" s="316">
        <v>6139</v>
      </c>
      <c r="F20" s="165" t="s">
        <v>1092</v>
      </c>
    </row>
    <row r="21" spans="1:6" s="4" customFormat="1" ht="21" customHeight="1">
      <c r="A21" s="166" t="s">
        <v>1121</v>
      </c>
      <c r="B21" s="167" t="str">
        <f>IF(Általános!$B$19=Általános!$F$8,GLOBAL!B145,IF(Általános!$B$19=Általános!$F$9,GLOBAL!C145,IF(Általános!$B$19=Általános!$F$10,GLOBAL!D145)))</f>
        <v>Egyéb ráfordítások</v>
      </c>
      <c r="C21" s="316">
        <v>39814</v>
      </c>
      <c r="D21" s="318">
        <f>EredmÖsszktsg"A"!D31</f>
        <v>0</v>
      </c>
      <c r="E21" s="316">
        <v>4429</v>
      </c>
      <c r="F21" s="165" t="s">
        <v>1094</v>
      </c>
    </row>
    <row r="22" spans="1:6" s="4" customFormat="1" ht="21" customHeight="1" thickBot="1">
      <c r="A22" s="166"/>
      <c r="B22" s="167" t="str">
        <f>IF(Általános!$B$19=Általános!$F$8,GLOBAL!B146,IF(Általános!$B$19=Általános!$F$9,GLOBAL!C146,IF(Általános!$B$19=Általános!$F$10,GLOBAL!D146)))</f>
        <v>     VII. sorból: értékvesztés</v>
      </c>
      <c r="C22" s="316"/>
      <c r="D22" s="318">
        <f>EredmÖsszktsg"A"!D32</f>
        <v>0</v>
      </c>
      <c r="E22" s="316"/>
      <c r="F22" s="165" t="s">
        <v>1096</v>
      </c>
    </row>
    <row r="23" spans="1:6" s="4" customFormat="1" ht="21" customHeight="1" thickBot="1">
      <c r="A23" s="168" t="s">
        <v>1126</v>
      </c>
      <c r="B23" s="169" t="str">
        <f>IF(Általános!$B$19=Általános!$F$8,GLOBAL!B147,IF(Általános!$B$19=Általános!$F$9,GLOBAL!C147,IF(Általános!$B$19=Általános!$F$10,GLOBAL!D147)))&amp;" (I±II+III-IV-V-VI-VII.)"</f>
        <v>ÜZEMI (ÜZLETI) TEVÉKENYSÉG EREDMÉNYE (I±II+III-IV-V-VI-VII.)</v>
      </c>
      <c r="C23" s="207">
        <f>C14+C15+C16-C18-C19-C20-C21</f>
        <v>368981</v>
      </c>
      <c r="D23" s="206">
        <f>D14+D15+D16-D18-D19-D20-D21</f>
        <v>0</v>
      </c>
      <c r="E23" s="207">
        <f>E14+E15+E16-E18-E19-E20-E21</f>
        <v>372147</v>
      </c>
      <c r="F23" s="165" t="s">
        <v>1098</v>
      </c>
    </row>
    <row r="24" spans="1:6" s="4" customFormat="1" ht="21" customHeight="1">
      <c r="A24" s="166" t="s">
        <v>343</v>
      </c>
      <c r="B24" s="167" t="str">
        <f>IF(Általános!$B$19=Általános!$F$8,GLOBAL!B157,IF(Általános!$B$19=Általános!$F$9,GLOBAL!C157,IF(Általános!$B$19=Általános!$F$10,GLOBAL!D157)))</f>
        <v>Pénzügyi műveletek bevételei</v>
      </c>
      <c r="C24" s="316">
        <v>10</v>
      </c>
      <c r="D24" s="318">
        <f>EredmÖsszktsg"A"!D63</f>
        <v>0</v>
      </c>
      <c r="E24" s="316">
        <v>4</v>
      </c>
      <c r="F24" s="165" t="s">
        <v>1100</v>
      </c>
    </row>
    <row r="25" spans="1:6" s="4" customFormat="1" ht="21" customHeight="1" thickBot="1">
      <c r="A25" s="166" t="s">
        <v>675</v>
      </c>
      <c r="B25" s="167" t="str">
        <f>IF(Általános!$B$19=Általános!$F$8,GLOBAL!B164,IF(Általános!$B$19=Általános!$F$9,GLOBAL!C164,IF(Általános!$B$19=Általános!$F$10,GLOBAL!D164)))</f>
        <v>Pénzügyi műveletek ráfordításai</v>
      </c>
      <c r="C25" s="316">
        <v>185</v>
      </c>
      <c r="D25" s="318">
        <f>EredmÖsszktsg"A"!D70</f>
        <v>0</v>
      </c>
      <c r="E25" s="316"/>
      <c r="F25" s="165" t="s">
        <v>1102</v>
      </c>
    </row>
    <row r="26" spans="1:6" s="4" customFormat="1" ht="21" customHeight="1" thickBot="1">
      <c r="A26" s="168" t="s">
        <v>676</v>
      </c>
      <c r="B26" s="121" t="str">
        <f>EredmÖsszktsg"A"!B71</f>
        <v>PÉNZÜGYI MŰVELETEK EREDMÉNYE (VIII-IX.)</v>
      </c>
      <c r="C26" s="207">
        <f>C24-C25</f>
        <v>-175</v>
      </c>
      <c r="D26" s="206">
        <f>D24-D25</f>
        <v>0</v>
      </c>
      <c r="E26" s="207">
        <f>E24-E25</f>
        <v>4</v>
      </c>
      <c r="F26" s="165" t="s">
        <v>1107</v>
      </c>
    </row>
    <row r="27" spans="1:6" s="4" customFormat="1" ht="21" customHeight="1" thickBot="1">
      <c r="A27" s="168" t="s">
        <v>677</v>
      </c>
      <c r="B27" s="121" t="str">
        <f>EredmÖsszktsg"A"!B72</f>
        <v>SZOKÁSOS VÁLLALKOZÁSI EREDMÉNY (±A±B.)</v>
      </c>
      <c r="C27" s="207">
        <f>C23+C26</f>
        <v>368806</v>
      </c>
      <c r="D27" s="206">
        <f>D23+D26</f>
        <v>0</v>
      </c>
      <c r="E27" s="207">
        <f>E23+E26</f>
        <v>372151</v>
      </c>
      <c r="F27" s="165" t="s">
        <v>1109</v>
      </c>
    </row>
    <row r="28" spans="1:6" s="4" customFormat="1" ht="21" customHeight="1">
      <c r="A28" s="166" t="s">
        <v>678</v>
      </c>
      <c r="B28" s="167" t="str">
        <f>EredmÖsszktsg"A"!B73</f>
        <v>Rendkívüli bevételek</v>
      </c>
      <c r="C28" s="316">
        <f>EredmÖsszktsg"A"!C73</f>
        <v>0</v>
      </c>
      <c r="D28" s="318">
        <f>EredmÖsszktsg"A"!D73</f>
        <v>0</v>
      </c>
      <c r="E28" s="316">
        <f>EredmÖsszktsg"A"!E73</f>
        <v>0</v>
      </c>
      <c r="F28" s="165" t="s">
        <v>1111</v>
      </c>
    </row>
    <row r="29" spans="1:6" s="4" customFormat="1" ht="21" customHeight="1" thickBot="1">
      <c r="A29" s="166" t="s">
        <v>680</v>
      </c>
      <c r="B29" s="167" t="str">
        <f>EredmÖsszktsg"A"!B74</f>
        <v>Rendkívüli ráfordítások</v>
      </c>
      <c r="C29" s="316"/>
      <c r="D29" s="318">
        <f>EredmÖsszktsg"A"!D74</f>
        <v>0</v>
      </c>
      <c r="E29" s="316"/>
      <c r="F29" s="165" t="s">
        <v>1113</v>
      </c>
    </row>
    <row r="30" spans="1:6" s="4" customFormat="1" ht="21" customHeight="1" thickBot="1">
      <c r="A30" s="168" t="s">
        <v>682</v>
      </c>
      <c r="B30" s="121" t="str">
        <f>EredmÖsszktsg"A"!B75</f>
        <v>RENDKÍVÜLI EREDMÉNY (X-XI.)</v>
      </c>
      <c r="C30" s="207">
        <f>C28-C29</f>
        <v>0</v>
      </c>
      <c r="D30" s="206">
        <f>D28-D29</f>
        <v>0</v>
      </c>
      <c r="E30" s="207">
        <f>E28-E29</f>
        <v>0</v>
      </c>
      <c r="F30" s="165" t="s">
        <v>1115</v>
      </c>
    </row>
    <row r="31" spans="1:6" s="4" customFormat="1" ht="21" customHeight="1" thickBot="1">
      <c r="A31" s="168" t="s">
        <v>683</v>
      </c>
      <c r="B31" s="121" t="str">
        <f>EredmÖsszktsg"A"!B76</f>
        <v>ADÓZÁS ELŐTTI EREDMÉNY (±C±D.)</v>
      </c>
      <c r="C31" s="207">
        <f>C27+C30</f>
        <v>368806</v>
      </c>
      <c r="D31" s="206">
        <f>D27+D30</f>
        <v>0</v>
      </c>
      <c r="E31" s="207">
        <f>E27+E30</f>
        <v>372151</v>
      </c>
      <c r="F31" s="165" t="s">
        <v>1117</v>
      </c>
    </row>
    <row r="32" spans="1:6" s="4" customFormat="1" ht="21" customHeight="1" thickBot="1">
      <c r="A32" s="166" t="s">
        <v>684</v>
      </c>
      <c r="B32" s="167" t="str">
        <f>EredmÖsszktsg"A"!B77</f>
        <v>Adófizetési kötelezettség</v>
      </c>
      <c r="C32" s="316">
        <f>EredmÖsszktsg"A"!C77</f>
        <v>0</v>
      </c>
      <c r="D32" s="318">
        <f>EredmÖsszktsg"A"!D77</f>
        <v>0</v>
      </c>
      <c r="E32" s="316">
        <f>EredmÖsszktsg"A"!E77</f>
        <v>0</v>
      </c>
      <c r="F32" s="165" t="s">
        <v>1120</v>
      </c>
    </row>
    <row r="33" spans="1:6" s="4" customFormat="1" ht="21" customHeight="1" thickBot="1">
      <c r="A33" s="168" t="s">
        <v>686</v>
      </c>
      <c r="B33" s="121" t="str">
        <f>EredmÖsszktsg"A"!B78</f>
        <v>ADÓZOTT EREDMÉNY (±E-XII.)</v>
      </c>
      <c r="C33" s="207">
        <f>C31-C32</f>
        <v>368806</v>
      </c>
      <c r="D33" s="206">
        <f>D31-D32</f>
        <v>0</v>
      </c>
      <c r="E33" s="207">
        <f>E31-E32</f>
        <v>372151</v>
      </c>
      <c r="F33" s="165" t="s">
        <v>1123</v>
      </c>
    </row>
    <row r="34" spans="1:6" s="4" customFormat="1" ht="21" customHeight="1" thickBot="1">
      <c r="A34" s="168" t="s">
        <v>689</v>
      </c>
      <c r="B34" s="121" t="str">
        <f>IF(Általános!$B$19=Általános!$F$8,GLOBAL!B175,IF(Általános!$B$19=Általános!$F$9,GLOBAL!C175,IF(Általános!$B$19=Általános!$F$10,GLOBAL!D175)))</f>
        <v>MÉRLEG SZERINTI EREDMÉNY</v>
      </c>
      <c r="C34" s="207"/>
      <c r="D34" s="211">
        <f>EgyszÉvesMérleg"A"!D60</f>
        <v>0</v>
      </c>
      <c r="E34" s="207"/>
      <c r="F34" s="165" t="s">
        <v>1125</v>
      </c>
    </row>
    <row r="35" spans="1:6" s="4" customFormat="1" ht="21" customHeight="1">
      <c r="A35" s="170"/>
      <c r="B35" s="57"/>
      <c r="C35" s="171"/>
      <c r="D35" s="171"/>
      <c r="E35" s="171"/>
      <c r="F35" s="72"/>
    </row>
    <row r="36" spans="1:6" s="4" customFormat="1" ht="12.75">
      <c r="A36" s="32" t="str">
        <f>'Beszámoló Fedlap'!B47</f>
        <v>Keltezés:</v>
      </c>
      <c r="C36" s="1"/>
      <c r="D36" s="1"/>
      <c r="E36" s="1"/>
      <c r="F36" s="1"/>
    </row>
    <row r="37" spans="1:6" s="4" customFormat="1" ht="12.75">
      <c r="A37" s="1"/>
      <c r="B37" s="263" t="str">
        <f>'Beszámoló Fedlap'!E47</f>
        <v>Komárom, 2016.04.29.</v>
      </c>
      <c r="C37" s="1"/>
      <c r="D37" s="1"/>
      <c r="E37" s="1"/>
      <c r="F37" s="1"/>
    </row>
    <row r="38" spans="1:6" s="4" customFormat="1" ht="12.75">
      <c r="A38" s="1"/>
      <c r="B38" s="363" t="str">
        <f>EgyszÉvesMérleg"A"!B33</f>
        <v>                        P.H.</v>
      </c>
      <c r="C38" s="24"/>
      <c r="D38" s="24"/>
      <c r="E38" s="24"/>
      <c r="F38" s="1"/>
    </row>
    <row r="39" spans="1:6" s="4" customFormat="1" ht="12.75">
      <c r="A39" s="1"/>
      <c r="B39" s="1"/>
      <c r="C39" s="42" t="str">
        <f>'Beszámoló Fedlap'!Q48</f>
        <v>vállalakozás vezetője</v>
      </c>
      <c r="D39" s="42"/>
      <c r="E39" s="42"/>
      <c r="F39" s="1"/>
    </row>
    <row r="40" spans="1:6" s="4" customFormat="1" ht="12.75">
      <c r="A40" s="1"/>
      <c r="B40" s="1"/>
      <c r="C40" s="42" t="str">
        <f>'Beszámoló Fedlap'!Q49</f>
        <v>(képviselője)</v>
      </c>
      <c r="D40" s="42"/>
      <c r="E40" s="42"/>
      <c r="F40" s="1"/>
    </row>
  </sheetData>
  <sheetProtection/>
  <printOptions horizontalCentered="1"/>
  <pageMargins left="0.3937007874015748" right="0.3937007874015748" top="0.7874015748031497" bottom="0.4724409448818898" header="0.7874015748031497" footer="0.5118110236220472"/>
  <pageSetup horizontalDpi="180" verticalDpi="180" orientation="portrait" paperSize="9" r:id="rId2"/>
  <drawing r:id="rId1"/>
</worksheet>
</file>

<file path=xl/worksheets/sheet9.xml><?xml version="1.0" encoding="utf-8"?>
<worksheet xmlns="http://schemas.openxmlformats.org/spreadsheetml/2006/main" xmlns:r="http://schemas.openxmlformats.org/officeDocument/2006/relationships">
  <sheetPr codeName="Munka11"/>
  <dimension ref="A1:F40"/>
  <sheetViews>
    <sheetView showZeros="0" workbookViewId="0" topLeftCell="A1">
      <selection activeCell="C12" sqref="C12"/>
    </sheetView>
  </sheetViews>
  <sheetFormatPr defaultColWidth="9.00390625" defaultRowHeight="12.75"/>
  <cols>
    <col min="1" max="1" width="5.75390625" style="1" customWidth="1"/>
    <col min="2" max="2" width="52.75390625" style="1" customWidth="1"/>
    <col min="3" max="3" width="10.75390625" style="1" customWidth="1"/>
    <col min="4" max="4" width="12.375" style="1" customWidth="1"/>
    <col min="5" max="5" width="10.75390625" style="1" customWidth="1"/>
    <col min="6" max="6" width="4.75390625" style="1" customWidth="1"/>
    <col min="7" max="16384" width="9.125" style="1"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51</v>
      </c>
      <c r="F2" s="98"/>
    </row>
    <row r="3" spans="1:6" s="97" customFormat="1" ht="15" customHeight="1">
      <c r="A3" s="95" t="str">
        <f>Mérleg"A"!A3</f>
        <v>A vállalkozás megnevezése</v>
      </c>
      <c r="B3" s="96"/>
      <c r="F3" s="98"/>
    </row>
    <row r="4" spans="2:6" s="97" customFormat="1" ht="16.5" customHeight="1">
      <c r="B4" s="105" t="str">
        <f>Mérleg"A"!B4</f>
        <v>Komáromi Távhő Kft</v>
      </c>
      <c r="E4" s="101"/>
      <c r="F4" s="98"/>
    </row>
    <row r="5" spans="1:6" ht="18" customHeight="1">
      <c r="A5" s="102" t="str">
        <f>IF(Általános!$B$19=Általános!$F$8,GLOBAL!B197,IF(Általános!$B$19=Általános!$F$9,GLOBAL!C197,IF(Általános!$B$19=Általános!$F$10,GLOBAL!D197)))</f>
        <v>Egyszerűsített éves beszámoló forgalmi költség eljárással készített</v>
      </c>
      <c r="B5" s="103"/>
      <c r="C5" s="42"/>
      <c r="D5" s="42"/>
      <c r="E5" s="104"/>
      <c r="F5" s="28"/>
    </row>
    <row r="6" spans="1:6" ht="18" customHeight="1">
      <c r="A6" s="102" t="str">
        <f>IF(Általános!$B$19=Általános!$F$8,GLOBAL!B198,IF(Általános!$B$19=Általános!$F$9,GLOBAL!C198,IF(Általános!$B$19=Általános!$F$10,GLOBAL!D198)))</f>
        <v>EREDMÉNYKIMUTATÁSA "A" változat</v>
      </c>
      <c r="B6" s="103"/>
      <c r="C6" s="42"/>
      <c r="D6" s="42"/>
      <c r="E6" s="104"/>
      <c r="F6" s="28"/>
    </row>
    <row r="7" spans="1:6" ht="16.5" customHeight="1">
      <c r="A7" s="42" t="str">
        <f>Mérleg"A"!A7</f>
        <v>Az üzleti év mérlegfordulónapja: 2016.december 31. Hőszolg.</v>
      </c>
      <c r="B7" s="103"/>
      <c r="C7" s="42"/>
      <c r="D7" s="42"/>
      <c r="E7" s="104"/>
      <c r="F7" s="28"/>
    </row>
    <row r="8" spans="1:6" s="4" customFormat="1" ht="12.75">
      <c r="A8" s="1"/>
      <c r="B8" s="7"/>
      <c r="C8" s="1"/>
      <c r="D8" s="1"/>
      <c r="E8" s="3"/>
      <c r="F8" s="1"/>
    </row>
    <row r="9" spans="1:6" s="4" customFormat="1" ht="15">
      <c r="A9" s="127" t="str">
        <f>Mérleg"A"!A8</f>
        <v>A közzétett adatokat könyvvizsgáló ellenőrizte</v>
      </c>
      <c r="B9" s="103"/>
      <c r="C9" s="42"/>
      <c r="D9" s="42"/>
      <c r="E9" s="42"/>
      <c r="F9" s="42"/>
    </row>
    <row r="10" spans="1:6" s="4" customFormat="1" ht="12.75">
      <c r="A10" s="1"/>
      <c r="B10" s="7"/>
      <c r="C10" s="1"/>
      <c r="D10" s="1"/>
      <c r="E10" s="3"/>
      <c r="F10" s="1"/>
    </row>
    <row r="11" spans="1:6" s="4" customFormat="1" ht="13.5" thickBot="1">
      <c r="A11" s="1"/>
      <c r="C11" s="1"/>
      <c r="D11" s="1"/>
      <c r="E11" s="5" t="str">
        <f>Mérleg"A"!E9</f>
        <v>Adatok E Ft-ban</v>
      </c>
      <c r="F11" s="1"/>
    </row>
    <row r="12" spans="1:6" s="4" customFormat="1" ht="35.25" customHeight="1">
      <c r="A12" s="12" t="str">
        <f>Mérleg"A"!A10</f>
        <v>Sor-szám</v>
      </c>
      <c r="B12" s="159" t="str">
        <f>Mérleg"A"!B10</f>
        <v>A tétel megnevezése</v>
      </c>
      <c r="C12" s="224" t="str">
        <f>Mérleg"A"!C10</f>
        <v>2011.</v>
      </c>
      <c r="D12" s="160" t="str">
        <f>Mérleg"A"!D10</f>
        <v>Előző év(ek) módosításai</v>
      </c>
      <c r="E12" s="225" t="str">
        <f>Mérleg"A"!E10</f>
        <v>Tárgyév</v>
      </c>
      <c r="F12" s="173"/>
    </row>
    <row r="13" spans="1:6" s="4" customFormat="1" ht="13.5" thickBot="1">
      <c r="A13" s="2" t="s">
        <v>1530</v>
      </c>
      <c r="B13" s="55" t="s">
        <v>1531</v>
      </c>
      <c r="C13" s="62" t="s">
        <v>1532</v>
      </c>
      <c r="D13" s="62" t="s">
        <v>565</v>
      </c>
      <c r="E13" s="162" t="s">
        <v>566</v>
      </c>
      <c r="F13" s="173"/>
    </row>
    <row r="14" spans="1:6" s="4" customFormat="1" ht="21" customHeight="1">
      <c r="A14" s="174" t="s">
        <v>1082</v>
      </c>
      <c r="B14" s="118" t="str">
        <f>EgyszÉvesEredmÖsszktsg"A"!B14</f>
        <v>Értékesítés nettó árbevétele</v>
      </c>
      <c r="C14" s="1563">
        <f>EredmForgktsg"A"!C17</f>
        <v>0</v>
      </c>
      <c r="D14" s="1564">
        <f>EredmForgktsg"A"!D17</f>
        <v>0</v>
      </c>
      <c r="E14" s="1565">
        <f>EredmForgktsg"A"!E17</f>
        <v>0</v>
      </c>
      <c r="F14" s="165" t="s">
        <v>1079</v>
      </c>
    </row>
    <row r="15" spans="1:6" s="4" customFormat="1" ht="21" customHeight="1">
      <c r="A15" s="175" t="s">
        <v>1088</v>
      </c>
      <c r="B15" s="176" t="str">
        <f>IF(Általános!$B$19=Általános!$F$8,GLOBAL!B178,IF(Általános!$B$19=Általános!$F$9,GLOBAL!C178,IF(Általános!$B$19=Általános!$F$10,GLOBAL!D178)))</f>
        <v>Értékesítés közvetlen költségei</v>
      </c>
      <c r="C15" s="1566">
        <f>EredmForgktsg"A"!C21</f>
        <v>0</v>
      </c>
      <c r="D15" s="288">
        <f>EredmForgktsg"A"!D21</f>
        <v>0</v>
      </c>
      <c r="E15" s="289">
        <f>EredmForgktsg"A"!E21</f>
        <v>0</v>
      </c>
      <c r="F15" s="165" t="s">
        <v>1081</v>
      </c>
    </row>
    <row r="16" spans="1:6" s="4" customFormat="1" ht="21" customHeight="1">
      <c r="A16" s="109" t="s">
        <v>1090</v>
      </c>
      <c r="B16" s="120" t="str">
        <f>EredmForgktsg"A"!B22</f>
        <v>Értékesítés bruttó eredménye (I-II.)</v>
      </c>
      <c r="C16" s="214">
        <f>C14-C15</f>
        <v>0</v>
      </c>
      <c r="D16" s="215">
        <f>D14-D15</f>
        <v>0</v>
      </c>
      <c r="E16" s="216">
        <f>E14-E15</f>
        <v>0</v>
      </c>
      <c r="F16" s="165" t="s">
        <v>1083</v>
      </c>
    </row>
    <row r="17" spans="1:6" s="4" customFormat="1" ht="21" customHeight="1">
      <c r="A17" s="177" t="s">
        <v>1108</v>
      </c>
      <c r="B17" s="178" t="str">
        <f>IF(Általános!$B$19=Általános!$F$8,GLOBAL!B183,IF(Általános!$B$19=Általános!$F$9,GLOBAL!C183,IF(Általános!$B$19=Általános!$F$10,GLOBAL!D183)))</f>
        <v>Értékesítés közvetett költségei</v>
      </c>
      <c r="C17" s="1567">
        <f>EredmForgktsg"A"!C26</f>
        <v>0</v>
      </c>
      <c r="D17" s="1553">
        <f>EredmForgktsg"A"!D26</f>
        <v>0</v>
      </c>
      <c r="E17" s="1554">
        <f>EredmForgktsg"A"!E26</f>
        <v>0</v>
      </c>
      <c r="F17" s="165" t="s">
        <v>1085</v>
      </c>
    </row>
    <row r="18" spans="1:6" s="4" customFormat="1" ht="21" customHeight="1">
      <c r="A18" s="177" t="s">
        <v>1116</v>
      </c>
      <c r="B18" s="178" t="str">
        <f>EredmForgktsg"A"!B27</f>
        <v>Egyéb bevételek</v>
      </c>
      <c r="C18" s="1567">
        <f>EredmForgktsg"A"!C27</f>
        <v>0</v>
      </c>
      <c r="D18" s="1553">
        <f>EredmForgktsg"A"!D27</f>
        <v>0</v>
      </c>
      <c r="E18" s="1554">
        <f>EredmForgktsg"A"!E27</f>
        <v>0</v>
      </c>
      <c r="F18" s="165" t="s">
        <v>1087</v>
      </c>
    </row>
    <row r="19" spans="1:6" s="4" customFormat="1" ht="21" customHeight="1">
      <c r="A19" s="177"/>
      <c r="B19" s="178" t="str">
        <f>EredmForgktsg"A"!B28</f>
        <v>     III.sorból: visszaírt értékvesztés</v>
      </c>
      <c r="C19" s="1567">
        <f>EredmForgktsg"A"!C28</f>
        <v>0</v>
      </c>
      <c r="D19" s="1553">
        <f>EredmForgktsg"A"!D28</f>
        <v>0</v>
      </c>
      <c r="E19" s="1554">
        <f>EredmForgktsg"A"!E28</f>
        <v>0</v>
      </c>
      <c r="F19" s="165" t="s">
        <v>1089</v>
      </c>
    </row>
    <row r="20" spans="1:6" s="4" customFormat="1" ht="21" customHeight="1">
      <c r="A20" s="177" t="s">
        <v>1118</v>
      </c>
      <c r="B20" s="178" t="str">
        <f>EredmForgktsg"A"!B29</f>
        <v>Egyéb ráfordítások</v>
      </c>
      <c r="C20" s="1567">
        <f>EredmForgktsg"A"!C29</f>
        <v>0</v>
      </c>
      <c r="D20" s="1553">
        <f>EredmForgktsg"A"!D29</f>
        <v>0</v>
      </c>
      <c r="E20" s="1554">
        <f>EredmForgktsg"A"!E29</f>
        <v>0</v>
      </c>
      <c r="F20" s="165" t="s">
        <v>1092</v>
      </c>
    </row>
    <row r="21" spans="1:6" s="4" customFormat="1" ht="21" customHeight="1" thickBot="1">
      <c r="A21" s="177"/>
      <c r="B21" s="178" t="str">
        <f>EredmForgktsg"A"!B30</f>
        <v>     VII. sorból: értékvesztés</v>
      </c>
      <c r="C21" s="1567">
        <f>EredmForgktsg"A"!C30</f>
        <v>0</v>
      </c>
      <c r="D21" s="1553">
        <f>EredmForgktsg"A"!D30</f>
        <v>0</v>
      </c>
      <c r="E21" s="1554">
        <f>EredmForgktsg"A"!E30</f>
        <v>0</v>
      </c>
      <c r="F21" s="165" t="s">
        <v>1094</v>
      </c>
    </row>
    <row r="22" spans="1:6" s="4" customFormat="1" ht="21" customHeight="1" thickBot="1">
      <c r="A22" s="179" t="s">
        <v>1126</v>
      </c>
      <c r="B22" s="119" t="str">
        <f>EredmForgktsg"A"!B31</f>
        <v>ÜZEMI (ÜZLETI) TEVÉKENYSÉG EREDMÉNYE (±III-IV+V-VI.)</v>
      </c>
      <c r="C22" s="219">
        <f>C16-C17+C18-C20</f>
        <v>0</v>
      </c>
      <c r="D22" s="220">
        <f>D16-D17+D18-D20</f>
        <v>0</v>
      </c>
      <c r="E22" s="221">
        <f>E16-E17+E18-E20</f>
        <v>0</v>
      </c>
      <c r="F22" s="165" t="s">
        <v>1096</v>
      </c>
    </row>
    <row r="23" spans="1:6" s="4" customFormat="1" ht="21" customHeight="1">
      <c r="A23" s="177" t="s">
        <v>1121</v>
      </c>
      <c r="B23" s="178" t="str">
        <f>IF(Általános!$B$19=Általános!$F$8,GLOBAL!B157,IF(Általános!$B$19=Általános!$F$9,GLOBAL!C157,IF(Általános!$B$19=Általános!$F$10,GLOBAL!D157)))</f>
        <v>Pénzügyi műveletek bevételei</v>
      </c>
      <c r="C23" s="1567">
        <f>EredmForgktsg"A"!C66</f>
        <v>0</v>
      </c>
      <c r="D23" s="1553"/>
      <c r="E23" s="1554"/>
      <c r="F23" s="165" t="s">
        <v>1098</v>
      </c>
    </row>
    <row r="24" spans="1:6" s="4" customFormat="1" ht="21" customHeight="1" thickBot="1">
      <c r="A24" s="175" t="s">
        <v>343</v>
      </c>
      <c r="B24" s="176" t="str">
        <f>IF(Általános!$B$19=Általános!$F$8,GLOBAL!B164,IF(Általános!$B$19=Általános!$F$9,GLOBAL!C164,IF(Általános!$B$19=Általános!$F$10,GLOBAL!D164)))</f>
        <v>Pénzügyi műveletek ráfordításai</v>
      </c>
      <c r="C24" s="1566">
        <f>EredmForgktsg"A"!C73</f>
        <v>0</v>
      </c>
      <c r="D24" s="288"/>
      <c r="E24" s="289"/>
      <c r="F24" s="165" t="s">
        <v>1100</v>
      </c>
    </row>
    <row r="25" spans="1:6" s="4" customFormat="1" ht="21" customHeight="1" thickBot="1">
      <c r="A25" s="179" t="s">
        <v>676</v>
      </c>
      <c r="B25" s="119" t="str">
        <f>EredmForgktsg"A"!B74</f>
        <v>PÉNZÜGYI MŰVELETEK EREDMÉNYE (VII-VIII)</v>
      </c>
      <c r="C25" s="219">
        <f>C23-C24</f>
        <v>0</v>
      </c>
      <c r="D25" s="220">
        <f>D23-D24</f>
        <v>0</v>
      </c>
      <c r="E25" s="221">
        <f>E23-E24</f>
        <v>0</v>
      </c>
      <c r="F25" s="165" t="s">
        <v>1102</v>
      </c>
    </row>
    <row r="26" spans="1:6" s="4" customFormat="1" ht="21" customHeight="1" thickBot="1">
      <c r="A26" s="179" t="s">
        <v>677</v>
      </c>
      <c r="B26" s="119" t="str">
        <f>EredmForgktsg"A"!B75</f>
        <v>SZOKÁSOS VÁLLALKOZÁSI EREDMÉNY (±A±B.)</v>
      </c>
      <c r="C26" s="219">
        <f>C22+C25</f>
        <v>0</v>
      </c>
      <c r="D26" s="220">
        <f>D22+D25</f>
        <v>0</v>
      </c>
      <c r="E26" s="221">
        <f>E22+E25</f>
        <v>0</v>
      </c>
      <c r="F26" s="165" t="s">
        <v>1107</v>
      </c>
    </row>
    <row r="27" spans="1:6" s="4" customFormat="1" ht="21" customHeight="1">
      <c r="A27" s="177" t="s">
        <v>675</v>
      </c>
      <c r="B27" s="178" t="str">
        <f>EredmForgktsg"A"!B76</f>
        <v>Rendkívüli bevételek</v>
      </c>
      <c r="C27" s="1567">
        <f>EredmForgktsg"A"!C76</f>
        <v>0</v>
      </c>
      <c r="D27" s="1553">
        <f>EredmForgktsg"A"!D76</f>
        <v>0</v>
      </c>
      <c r="E27" s="1554">
        <f>EredmForgktsg"A"!E76</f>
        <v>0</v>
      </c>
      <c r="F27" s="165" t="s">
        <v>1109</v>
      </c>
    </row>
    <row r="28" spans="1:6" s="4" customFormat="1" ht="21" customHeight="1" thickBot="1">
      <c r="A28" s="175" t="s">
        <v>678</v>
      </c>
      <c r="B28" s="176" t="str">
        <f>EredmForgktsg"A"!B77</f>
        <v>Rendkívüli ráfordítások</v>
      </c>
      <c r="C28" s="1566">
        <f>EredmForgktsg"A"!C77</f>
        <v>0</v>
      </c>
      <c r="D28" s="288">
        <f>EredmForgktsg"A"!D77</f>
        <v>0</v>
      </c>
      <c r="E28" s="289">
        <f>EredmForgktsg"A"!E77</f>
        <v>0</v>
      </c>
      <c r="F28" s="165" t="s">
        <v>1111</v>
      </c>
    </row>
    <row r="29" spans="1:6" s="4" customFormat="1" ht="21" customHeight="1" thickBot="1">
      <c r="A29" s="179" t="s">
        <v>682</v>
      </c>
      <c r="B29" s="119" t="s">
        <v>991</v>
      </c>
      <c r="C29" s="219">
        <f>C27-C28</f>
        <v>0</v>
      </c>
      <c r="D29" s="220">
        <f>D27-D28</f>
        <v>0</v>
      </c>
      <c r="E29" s="221">
        <f>E27-E28</f>
        <v>0</v>
      </c>
      <c r="F29" s="165" t="s">
        <v>1113</v>
      </c>
    </row>
    <row r="30" spans="1:6" s="4" customFormat="1" ht="21" customHeight="1" thickBot="1">
      <c r="A30" s="179" t="s">
        <v>683</v>
      </c>
      <c r="B30" s="119" t="str">
        <f>EredmForgktsg"A"!B79</f>
        <v>ADÓZÁS ELŐTTI EREDMÉNY (±C±D.)</v>
      </c>
      <c r="C30" s="219">
        <f>C26+C29</f>
        <v>0</v>
      </c>
      <c r="D30" s="220">
        <f>D26+D29</f>
        <v>0</v>
      </c>
      <c r="E30" s="221">
        <f>E26+E29</f>
        <v>0</v>
      </c>
      <c r="F30" s="165" t="s">
        <v>1115</v>
      </c>
    </row>
    <row r="31" spans="1:6" s="4" customFormat="1" ht="21" customHeight="1" thickBot="1">
      <c r="A31" s="175" t="s">
        <v>680</v>
      </c>
      <c r="B31" s="176" t="str">
        <f>EredmForgktsg"A"!B80</f>
        <v>Adófizetési kötelezettség</v>
      </c>
      <c r="C31" s="212"/>
      <c r="D31" s="213"/>
      <c r="E31" s="208"/>
      <c r="F31" s="165" t="s">
        <v>1117</v>
      </c>
    </row>
    <row r="32" spans="1:6" s="4" customFormat="1" ht="21" customHeight="1" thickBot="1">
      <c r="A32" s="179" t="s">
        <v>686</v>
      </c>
      <c r="B32" s="119" t="str">
        <f>EredmForgktsg"A"!B81</f>
        <v>Adózott eredmény (±E-XI.)</v>
      </c>
      <c r="C32" s="219">
        <f>C30-C31</f>
        <v>0</v>
      </c>
      <c r="D32" s="220">
        <f>D30-D31</f>
        <v>0</v>
      </c>
      <c r="E32" s="221">
        <f>E30-E31</f>
        <v>0</v>
      </c>
      <c r="F32" s="165" t="s">
        <v>1120</v>
      </c>
    </row>
    <row r="33" spans="1:6" s="4" customFormat="1" ht="21" customHeight="1" thickBot="1">
      <c r="A33" s="179" t="s">
        <v>689</v>
      </c>
      <c r="B33" s="119" t="str">
        <f>EredmForgktsg"A"!B84</f>
        <v>MÉRLEG SZERINTI EREDMÉNY (±F+18-19)</v>
      </c>
      <c r="C33" s="219">
        <f>EgyszÉvesMérleg"A"!C60</f>
        <v>368806</v>
      </c>
      <c r="D33" s="219">
        <f>EgyszÉvesMérleg"A"!D60</f>
        <v>0</v>
      </c>
      <c r="E33" s="221">
        <f>EgyszÉvesMérleg"A"!E60</f>
        <v>372151</v>
      </c>
      <c r="F33" s="165" t="s">
        <v>1123</v>
      </c>
    </row>
    <row r="34" spans="1:6" s="4" customFormat="1" ht="18.75" customHeight="1">
      <c r="A34" s="1"/>
      <c r="B34" s="1"/>
      <c r="C34" s="1"/>
      <c r="D34" s="1"/>
      <c r="E34" s="1"/>
      <c r="F34" s="1"/>
    </row>
    <row r="35" spans="1:6" s="4" customFormat="1" ht="12.75">
      <c r="A35" s="1"/>
      <c r="B35" s="172"/>
      <c r="C35" s="1"/>
      <c r="D35" s="1"/>
      <c r="E35" s="1"/>
      <c r="F35" s="1"/>
    </row>
    <row r="36" spans="1:2" ht="12.75">
      <c r="A36" s="32" t="str">
        <f>'Beszámoló Fedlap'!B47</f>
        <v>Keltezés:</v>
      </c>
      <c r="B36" s="3"/>
    </row>
    <row r="37" ht="12.75">
      <c r="B37" s="263" t="str">
        <f>'Beszámoló Fedlap'!E47</f>
        <v>Komárom, 2016.04.29.</v>
      </c>
    </row>
    <row r="38" spans="2:5" ht="12.75">
      <c r="B38" s="364" t="str">
        <f>EgyszÉvesEredmÖsszktsg"A"!B38</f>
        <v>                        P.H.</v>
      </c>
      <c r="C38" s="24"/>
      <c r="D38" s="24"/>
      <c r="E38" s="24"/>
    </row>
    <row r="39" spans="3:5" ht="12.75">
      <c r="C39" s="42" t="str">
        <f>'Beszámoló Fedlap'!Q48</f>
        <v>vállalakozás vezetője</v>
      </c>
      <c r="D39" s="42"/>
      <c r="E39" s="42"/>
    </row>
    <row r="40" spans="3:5" ht="12.75">
      <c r="C40" s="42" t="str">
        <f>'Beszámoló Fedlap'!Q49</f>
        <v>(képviselője)</v>
      </c>
      <c r="D40" s="42"/>
      <c r="E40" s="42"/>
    </row>
  </sheetData>
  <printOptions horizontalCentered="1"/>
  <pageMargins left="0.3937007874015748" right="0.3937007874015748" top="0.7874015748031497" bottom="0.5905511811023623" header="0.7874015748031497"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MOORE STPEHENS WAGNER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Éves beszámoló, segédlet könyvvizsgálathoz</dc:title>
  <dc:subject>Könyvvizsgálati segédlet</dc:subject>
  <dc:creator>Wágner Vilmos</dc:creator>
  <cp:keywords>könyvvizsgálat:mérleg</cp:keywords>
  <dc:description/>
  <cp:lastModifiedBy>Bilance</cp:lastModifiedBy>
  <cp:lastPrinted>2017-05-16T09:25:11Z</cp:lastPrinted>
  <dcterms:created xsi:type="dcterms:W3CDTF">1995-12-27T14:41:39Z</dcterms:created>
  <dcterms:modified xsi:type="dcterms:W3CDTF">2017-05-16T09:26:37Z</dcterms:modified>
  <cp:category>Könyvvizsgálat:Mérleg</cp:category>
  <cp:version/>
  <cp:contentType/>
  <cp:contentStatus/>
</cp:coreProperties>
</file>